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ink/ink1.xml" ContentType="application/inkml+xml"/>
  <Override PartName="/xl/ink/ink2.xml" ContentType="application/inkml+xml"/>
  <Override PartName="/xl/ink/ink3.xml" ContentType="application/inkml+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Questa_cartella_di_lavoro" defaultThemeVersion="166925"/>
  <mc:AlternateContent xmlns:mc="http://schemas.openxmlformats.org/markup-compatibility/2006">
    <mc:Choice Requires="x15">
      <x15ac:absPath xmlns:x15ac="http://schemas.microsoft.com/office/spreadsheetml/2010/11/ac" url="C:\Users\Quercio\Desktop\"/>
    </mc:Choice>
  </mc:AlternateContent>
  <xr:revisionPtr revIDLastSave="0" documentId="8_{059B6363-1214-3F4E-AC06-815202E5E217}" xr6:coauthVersionLast="47" xr6:coauthVersionMax="47" xr10:uidLastSave="{00000000-0000-0000-0000-000000000000}"/>
  <workbookProtection workbookAlgorithmName="SHA-512" workbookHashValue="ZCJ9Lg6xGne4Jqcc7XRN4w5usC3Ir+/wY+EsS7n/0jgUNntP5FCFVvGfeKOf6NxRHZEZdbnE+BIB+9M/6Yw4hA==" workbookSaltValue="Cqu5OHBrQ/qD0HcXXQNqSg==" workbookSpinCount="100000" lockStructure="1"/>
  <bookViews>
    <workbookView xWindow="-120" yWindow="-120" windowWidth="29040" windowHeight="15840" xr2:uid="{00000000-000D-0000-FFFF-FFFF00000000}"/>
  </bookViews>
  <sheets>
    <sheet name="Roster" sheetId="1" r:id="rId1"/>
    <sheet name="StarPlayer" sheetId="6" state="hidden" r:id="rId2"/>
    <sheet name="Skill" sheetId="5" state="hidden" r:id="rId3"/>
    <sheet name="Team" sheetId="3" state="hidden" r:id="rId4"/>
    <sheet name="Reces" sheetId="4" state="hidden" r:id="rId5"/>
    <sheet name="Read Me" sheetId="7" r:id="rId6"/>
  </sheets>
  <definedNames>
    <definedName name="Abilità">"Skill!$A$2:$B$126"</definedName>
    <definedName name="Agility">Skill!$A$55:$A$66</definedName>
    <definedName name="Agility_R">Skill!$A$115:$A$126</definedName>
    <definedName name="_xlnm.Print_Area" localSheetId="0">Roster!$A$1:$AB$32</definedName>
    <definedName name="Black_Orc">Team!$A$2:$A$5</definedName>
    <definedName name="Chaos_Chosen">Team!$A$6:$A$11</definedName>
    <definedName name="Chaos_Renegade">Team!$A$12:$A$22</definedName>
    <definedName name="Dark_Elf">Team!$A$23:$A$28</definedName>
    <definedName name="Dwarf">Team!$A$29:$A$34</definedName>
    <definedName name="Elven_Union">Team!$A$35:$A$39</definedName>
    <definedName name="General">Skill!$A$43:$A$54</definedName>
    <definedName name="General_R">Skill!$A$103:$A$114</definedName>
    <definedName name="Goblin">Team!$A$40:$A$48</definedName>
    <definedName name="Halfling">Team!$A$49:$A$53</definedName>
    <definedName name="Human">Team!$A$54:$A$60</definedName>
    <definedName name="Imperial_Nobility">Team!$A$61:$A$66</definedName>
    <definedName name="Lizardmen">Team!$A$67:$A$71</definedName>
    <definedName name="LowCost">TeamT[[#All],[Star Player Special Rule]]</definedName>
    <definedName name="Mode">Roster!$BB$9:$BB$10</definedName>
    <definedName name="Mutation">Skill!$A$31:$A$42</definedName>
    <definedName name="Mutation_R">Skill!$A$91:$A$102</definedName>
    <definedName name="Necromantic_Horror">Team!$A$72:$A$77</definedName>
    <definedName name="Nurgle">Team!$A$78:$A$82</definedName>
    <definedName name="Ogre">Team!$A$83:$A$86</definedName>
    <definedName name="Old_World_Alliance">Team!$A$87:$A$98</definedName>
    <definedName name="Orc">Team!$A$99:$A$105</definedName>
    <definedName name="Passing">Skill!$A$19:$A$30</definedName>
    <definedName name="Passing_R">Skill!$A$79:$A$90</definedName>
    <definedName name="Shambling_Undead">Team!$A$106:$A$111</definedName>
    <definedName name="Skaven">Team!$A$112:$A$117</definedName>
    <definedName name="Snotling">Team!$A$118:$A$124</definedName>
    <definedName name="Strength">Skill!$A$7:$A$18</definedName>
    <definedName name="Strength_R">Skill!$A$67:$A$78</definedName>
    <definedName name="Team">#REF!</definedName>
    <definedName name="TeamList">Reces!$A$2:$A$32</definedName>
    <definedName name="Underworld_Denizens">Team!$A$125:$A$133</definedName>
    <definedName name="Upgread">Skill!$A$2:$A$6</definedName>
    <definedName name="Wood_Elf">Team!$A$134:$A$139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9" i="1" l="1"/>
  <c r="P224" i="3"/>
  <c r="P225" i="3"/>
  <c r="P226" i="3"/>
  <c r="P227" i="3"/>
  <c r="P228" i="3"/>
  <c r="P229" i="3"/>
  <c r="P230" i="3"/>
  <c r="Q224" i="3"/>
  <c r="Q225" i="3"/>
  <c r="Q226" i="3"/>
  <c r="Q227" i="3"/>
  <c r="Q228" i="3"/>
  <c r="Q229" i="3"/>
  <c r="Q230" i="3"/>
  <c r="V34" i="4"/>
  <c r="V33" i="4"/>
  <c r="V32" i="4"/>
  <c r="V31" i="4"/>
  <c r="V30" i="4"/>
  <c r="V8" i="4"/>
  <c r="V29" i="4"/>
  <c r="V28" i="4"/>
  <c r="V27" i="4"/>
  <c r="V26" i="4"/>
  <c r="V25" i="4"/>
  <c r="V24" i="4"/>
  <c r="V23" i="4"/>
  <c r="V22" i="4"/>
  <c r="V21" i="4"/>
  <c r="V20" i="4"/>
  <c r="V19" i="4"/>
  <c r="V18" i="4"/>
  <c r="V17" i="4"/>
  <c r="V16" i="4"/>
  <c r="V15" i="4"/>
  <c r="V14" i="4"/>
  <c r="V13" i="4"/>
  <c r="V12" i="4"/>
  <c r="V11" i="4"/>
  <c r="V10" i="4"/>
  <c r="V9" i="4"/>
  <c r="V7" i="4"/>
  <c r="V6" i="4"/>
  <c r="V5" i="4"/>
  <c r="V4" i="4"/>
  <c r="V3" i="4"/>
  <c r="P145" i="3"/>
  <c r="Q145" i="3"/>
  <c r="P146" i="3"/>
  <c r="Q146" i="3"/>
  <c r="P147" i="3"/>
  <c r="Q147" i="3"/>
  <c r="P144" i="3"/>
  <c r="Q144" i="3"/>
  <c r="P148" i="3"/>
  <c r="Q148" i="3"/>
  <c r="P149" i="3"/>
  <c r="Q149" i="3"/>
  <c r="C25" i="4"/>
  <c r="E25" i="4"/>
  <c r="AB6" i="1"/>
  <c r="AB7" i="1"/>
  <c r="AB8" i="1"/>
  <c r="AB9" i="1"/>
  <c r="AB10" i="1"/>
  <c r="AB11" i="1"/>
  <c r="AB12" i="1"/>
  <c r="AB13" i="1"/>
  <c r="AB14" i="1"/>
  <c r="AB15" i="1"/>
  <c r="AB16" i="1"/>
  <c r="AB17" i="1"/>
  <c r="AB18" i="1"/>
  <c r="AB19" i="1"/>
  <c r="AB20" i="1"/>
  <c r="AB5" i="1"/>
  <c r="P220" i="3"/>
  <c r="P221" i="3"/>
  <c r="P222" i="3"/>
  <c r="P223" i="3"/>
  <c r="P87" i="3"/>
  <c r="P88" i="3"/>
  <c r="P89" i="3"/>
  <c r="P90" i="3"/>
  <c r="P91" i="3"/>
  <c r="P86" i="3"/>
  <c r="C16" i="4"/>
  <c r="E16" i="4"/>
  <c r="Q87" i="3"/>
  <c r="Q88" i="3"/>
  <c r="Q89" i="3"/>
  <c r="Q91" i="3"/>
  <c r="Q90" i="3"/>
  <c r="Q220" i="3"/>
  <c r="Q221" i="3"/>
  <c r="Q222" i="3"/>
  <c r="Q223" i="3"/>
  <c r="P219" i="3"/>
  <c r="Q219" i="3"/>
  <c r="P157" i="3"/>
  <c r="P158" i="3"/>
  <c r="P159" i="3"/>
  <c r="P160" i="3"/>
  <c r="Q157" i="3"/>
  <c r="Q158" i="3"/>
  <c r="Q159" i="3"/>
  <c r="Q160" i="3"/>
  <c r="P156" i="3"/>
  <c r="Q156" i="3"/>
  <c r="P36" i="3"/>
  <c r="P37" i="3"/>
  <c r="Q36" i="3"/>
  <c r="Q37" i="3"/>
  <c r="C7" i="4"/>
  <c r="C27" i="4"/>
  <c r="E7" i="4"/>
  <c r="E27" i="4"/>
  <c r="AB24" i="1"/>
  <c r="AB23" i="1"/>
  <c r="Y25" i="1"/>
  <c r="AB25" i="1"/>
  <c r="Y22" i="1"/>
  <c r="AB22" i="1"/>
  <c r="AB21" i="1"/>
  <c r="N30" i="1"/>
  <c r="Y5" i="1"/>
  <c r="Z5" i="1"/>
  <c r="C32" i="1"/>
  <c r="C31" i="1"/>
  <c r="C30" i="1"/>
  <c r="C29" i="1"/>
  <c r="C28" i="1"/>
  <c r="C27" i="1"/>
  <c r="C26" i="1"/>
  <c r="C25" i="1"/>
  <c r="C24" i="1"/>
  <c r="C23" i="1"/>
  <c r="C22" i="1"/>
  <c r="L16" i="1"/>
  <c r="AA4" i="3"/>
  <c r="AR4" i="3"/>
  <c r="AA2" i="3"/>
  <c r="AR2" i="3"/>
  <c r="AB2" i="3"/>
  <c r="AS2" i="3"/>
  <c r="O29" i="1"/>
  <c r="AP128" i="3"/>
  <c r="BG128" i="3"/>
  <c r="AO128" i="3"/>
  <c r="BF128" i="3"/>
  <c r="AN128" i="3"/>
  <c r="BE128" i="3"/>
  <c r="AM128" i="3"/>
  <c r="BD128" i="3"/>
  <c r="AL128" i="3"/>
  <c r="BC128" i="3"/>
  <c r="AK128" i="3"/>
  <c r="BB128" i="3"/>
  <c r="AJ128" i="3"/>
  <c r="BA128" i="3"/>
  <c r="AI128" i="3"/>
  <c r="AZ128" i="3"/>
  <c r="AH128" i="3"/>
  <c r="AY128" i="3"/>
  <c r="AG128" i="3"/>
  <c r="AX128" i="3"/>
  <c r="AF128" i="3"/>
  <c r="AW128" i="3"/>
  <c r="AE128" i="3"/>
  <c r="AV128" i="3"/>
  <c r="AD128" i="3"/>
  <c r="AU128" i="3"/>
  <c r="AC128" i="3"/>
  <c r="AT128" i="3"/>
  <c r="AB128" i="3"/>
  <c r="AS128" i="3"/>
  <c r="AA128" i="3"/>
  <c r="AR128" i="3"/>
  <c r="AP127" i="3"/>
  <c r="BG127" i="3"/>
  <c r="AO127" i="3"/>
  <c r="BF127" i="3"/>
  <c r="AN127" i="3"/>
  <c r="BE127" i="3"/>
  <c r="AM127" i="3"/>
  <c r="BD127" i="3"/>
  <c r="AL127" i="3"/>
  <c r="BC127" i="3"/>
  <c r="AK127" i="3"/>
  <c r="BB127" i="3"/>
  <c r="AJ127" i="3"/>
  <c r="BA127" i="3"/>
  <c r="AI127" i="3"/>
  <c r="AZ127" i="3"/>
  <c r="AH127" i="3"/>
  <c r="AY127" i="3"/>
  <c r="AG127" i="3"/>
  <c r="AX127" i="3"/>
  <c r="AF127" i="3"/>
  <c r="AW127" i="3"/>
  <c r="AE127" i="3"/>
  <c r="AV127" i="3"/>
  <c r="AD127" i="3"/>
  <c r="AU127" i="3"/>
  <c r="AC127" i="3"/>
  <c r="AT127" i="3"/>
  <c r="AB127" i="3"/>
  <c r="AS127" i="3"/>
  <c r="AP126" i="3"/>
  <c r="BG126" i="3"/>
  <c r="AO126" i="3"/>
  <c r="BF126" i="3"/>
  <c r="AN126" i="3"/>
  <c r="BE126" i="3"/>
  <c r="AM126" i="3"/>
  <c r="BD126" i="3"/>
  <c r="AL126" i="3"/>
  <c r="BC126" i="3"/>
  <c r="AK126" i="3"/>
  <c r="BB126" i="3"/>
  <c r="AJ126" i="3"/>
  <c r="BA126" i="3"/>
  <c r="AI126" i="3"/>
  <c r="AZ126" i="3"/>
  <c r="AH126" i="3"/>
  <c r="AY126" i="3"/>
  <c r="AG126" i="3"/>
  <c r="AX126" i="3"/>
  <c r="AF126" i="3"/>
  <c r="AW126" i="3"/>
  <c r="AE126" i="3"/>
  <c r="AV126" i="3"/>
  <c r="AD126" i="3"/>
  <c r="AU126" i="3"/>
  <c r="AC126" i="3"/>
  <c r="AT126" i="3"/>
  <c r="AB126" i="3"/>
  <c r="AS126" i="3"/>
  <c r="AA126" i="3"/>
  <c r="AR126" i="3"/>
  <c r="AP125" i="3"/>
  <c r="BG125" i="3"/>
  <c r="AO125" i="3"/>
  <c r="BF125" i="3"/>
  <c r="AN125" i="3"/>
  <c r="BE125" i="3"/>
  <c r="AM125" i="3"/>
  <c r="BD125" i="3"/>
  <c r="AL125" i="3"/>
  <c r="BC125" i="3"/>
  <c r="AK125" i="3"/>
  <c r="BB125" i="3"/>
  <c r="AJ125" i="3"/>
  <c r="BA125" i="3"/>
  <c r="AI125" i="3"/>
  <c r="AZ125" i="3"/>
  <c r="AH125" i="3"/>
  <c r="AY125" i="3"/>
  <c r="AG125" i="3"/>
  <c r="AX125" i="3"/>
  <c r="AF125" i="3"/>
  <c r="AW125" i="3"/>
  <c r="AE125" i="3"/>
  <c r="AV125" i="3"/>
  <c r="AD125" i="3"/>
  <c r="AU125" i="3"/>
  <c r="AC125" i="3"/>
  <c r="AT125" i="3"/>
  <c r="AB125" i="3"/>
  <c r="AS125" i="3"/>
  <c r="AA125" i="3"/>
  <c r="AR125" i="3"/>
  <c r="AP124" i="3"/>
  <c r="BG124" i="3"/>
  <c r="AO124" i="3"/>
  <c r="BF124" i="3"/>
  <c r="AN124" i="3"/>
  <c r="BE124" i="3"/>
  <c r="AM124" i="3"/>
  <c r="BD124" i="3"/>
  <c r="AL124" i="3"/>
  <c r="BC124" i="3"/>
  <c r="AK124" i="3"/>
  <c r="BB124" i="3"/>
  <c r="AJ124" i="3"/>
  <c r="BA124" i="3"/>
  <c r="AI124" i="3"/>
  <c r="AZ124" i="3"/>
  <c r="AH124" i="3"/>
  <c r="AY124" i="3"/>
  <c r="AG124" i="3"/>
  <c r="AX124" i="3"/>
  <c r="AF124" i="3"/>
  <c r="AW124" i="3"/>
  <c r="AE124" i="3"/>
  <c r="AV124" i="3"/>
  <c r="AD124" i="3"/>
  <c r="AU124" i="3"/>
  <c r="AC124" i="3"/>
  <c r="AT124" i="3"/>
  <c r="AB124" i="3"/>
  <c r="AS124" i="3"/>
  <c r="AA124" i="3"/>
  <c r="AR124" i="3"/>
  <c r="AP123" i="3"/>
  <c r="BG123" i="3"/>
  <c r="AO123" i="3"/>
  <c r="BF123" i="3"/>
  <c r="AN123" i="3"/>
  <c r="BE123" i="3"/>
  <c r="AM123" i="3"/>
  <c r="BD123" i="3"/>
  <c r="AL123" i="3"/>
  <c r="BC123" i="3"/>
  <c r="AK123" i="3"/>
  <c r="BB123" i="3"/>
  <c r="AJ123" i="3"/>
  <c r="BA123" i="3"/>
  <c r="AI123" i="3"/>
  <c r="AZ123" i="3"/>
  <c r="AH123" i="3"/>
  <c r="AY123" i="3"/>
  <c r="AG123" i="3"/>
  <c r="AX123" i="3"/>
  <c r="AF123" i="3"/>
  <c r="AW123" i="3"/>
  <c r="AE123" i="3"/>
  <c r="AV123" i="3"/>
  <c r="AD123" i="3"/>
  <c r="AU123" i="3"/>
  <c r="AC123" i="3"/>
  <c r="AT123" i="3"/>
  <c r="AB123" i="3"/>
  <c r="AS123" i="3"/>
  <c r="AA123" i="3"/>
  <c r="AR123" i="3"/>
  <c r="AP122" i="3"/>
  <c r="BG122" i="3"/>
  <c r="AO122" i="3"/>
  <c r="BF122" i="3"/>
  <c r="AN122" i="3"/>
  <c r="BE122" i="3"/>
  <c r="AM122" i="3"/>
  <c r="BD122" i="3"/>
  <c r="AL122" i="3"/>
  <c r="BC122" i="3"/>
  <c r="AK122" i="3"/>
  <c r="BB122" i="3"/>
  <c r="AJ122" i="3"/>
  <c r="BA122" i="3"/>
  <c r="AI122" i="3"/>
  <c r="AZ122" i="3"/>
  <c r="AH122" i="3"/>
  <c r="AY122" i="3"/>
  <c r="AG122" i="3"/>
  <c r="AX122" i="3"/>
  <c r="AF122" i="3"/>
  <c r="AW122" i="3"/>
  <c r="AE122" i="3"/>
  <c r="AV122" i="3"/>
  <c r="AD122" i="3"/>
  <c r="AU122" i="3"/>
  <c r="AC122" i="3"/>
  <c r="AT122" i="3"/>
  <c r="AB122" i="3"/>
  <c r="AS122" i="3"/>
  <c r="AA122" i="3"/>
  <c r="AR122" i="3"/>
  <c r="AP121" i="3"/>
  <c r="BG121" i="3"/>
  <c r="AO121" i="3"/>
  <c r="BF121" i="3"/>
  <c r="AN121" i="3"/>
  <c r="BE121" i="3"/>
  <c r="AM121" i="3"/>
  <c r="BD121" i="3"/>
  <c r="AL121" i="3"/>
  <c r="BC121" i="3"/>
  <c r="AK121" i="3"/>
  <c r="BB121" i="3"/>
  <c r="AJ121" i="3"/>
  <c r="BA121" i="3"/>
  <c r="AI121" i="3"/>
  <c r="AZ121" i="3"/>
  <c r="AH121" i="3"/>
  <c r="AY121" i="3"/>
  <c r="AG121" i="3"/>
  <c r="AX121" i="3"/>
  <c r="AF121" i="3"/>
  <c r="AW121" i="3"/>
  <c r="AE121" i="3"/>
  <c r="AV121" i="3"/>
  <c r="AD121" i="3"/>
  <c r="AU121" i="3"/>
  <c r="AC121" i="3"/>
  <c r="AT121" i="3"/>
  <c r="AB121" i="3"/>
  <c r="AS121" i="3"/>
  <c r="AA121" i="3"/>
  <c r="AR121" i="3"/>
  <c r="AP120" i="3"/>
  <c r="BG120" i="3"/>
  <c r="AO120" i="3"/>
  <c r="BF120" i="3"/>
  <c r="AN120" i="3"/>
  <c r="BE120" i="3"/>
  <c r="AM120" i="3"/>
  <c r="BD120" i="3"/>
  <c r="AL120" i="3"/>
  <c r="BC120" i="3"/>
  <c r="AK120" i="3"/>
  <c r="BB120" i="3"/>
  <c r="AJ120" i="3"/>
  <c r="BA120" i="3"/>
  <c r="AI120" i="3"/>
  <c r="AZ120" i="3"/>
  <c r="AH120" i="3"/>
  <c r="AY120" i="3"/>
  <c r="AG120" i="3"/>
  <c r="AX120" i="3"/>
  <c r="AF120" i="3"/>
  <c r="AW120" i="3"/>
  <c r="AE120" i="3"/>
  <c r="AV120" i="3"/>
  <c r="AD120" i="3"/>
  <c r="AU120" i="3"/>
  <c r="AC120" i="3"/>
  <c r="AT120" i="3"/>
  <c r="AB120" i="3"/>
  <c r="AS120" i="3"/>
  <c r="AA120" i="3"/>
  <c r="AR120" i="3"/>
  <c r="AP119" i="3"/>
  <c r="BG119" i="3"/>
  <c r="AO119" i="3"/>
  <c r="BF119" i="3"/>
  <c r="AN119" i="3"/>
  <c r="BE119" i="3"/>
  <c r="AM119" i="3"/>
  <c r="BD119" i="3"/>
  <c r="AL119" i="3"/>
  <c r="BC119" i="3"/>
  <c r="AK119" i="3"/>
  <c r="BB119" i="3"/>
  <c r="AJ119" i="3"/>
  <c r="BA119" i="3"/>
  <c r="AI119" i="3"/>
  <c r="AZ119" i="3"/>
  <c r="AH119" i="3"/>
  <c r="AY119" i="3"/>
  <c r="AG119" i="3"/>
  <c r="AX119" i="3"/>
  <c r="AF119" i="3"/>
  <c r="AW119" i="3"/>
  <c r="AE119" i="3"/>
  <c r="AV119" i="3"/>
  <c r="AD119" i="3"/>
  <c r="AU119" i="3"/>
  <c r="AC119" i="3"/>
  <c r="AT119" i="3"/>
  <c r="AB119" i="3"/>
  <c r="AS119" i="3"/>
  <c r="AA119" i="3"/>
  <c r="AR119" i="3"/>
  <c r="AP118" i="3"/>
  <c r="BG118" i="3"/>
  <c r="AO118" i="3"/>
  <c r="BF118" i="3"/>
  <c r="AN118" i="3"/>
  <c r="BE118" i="3"/>
  <c r="AM118" i="3"/>
  <c r="BD118" i="3"/>
  <c r="AL118" i="3"/>
  <c r="BC118" i="3"/>
  <c r="AK118" i="3"/>
  <c r="BB118" i="3"/>
  <c r="AJ118" i="3"/>
  <c r="BA118" i="3"/>
  <c r="AI118" i="3"/>
  <c r="AZ118" i="3"/>
  <c r="AH118" i="3"/>
  <c r="AY118" i="3"/>
  <c r="AG118" i="3"/>
  <c r="AX118" i="3"/>
  <c r="AF118" i="3"/>
  <c r="AW118" i="3"/>
  <c r="AE118" i="3"/>
  <c r="AV118" i="3"/>
  <c r="AD118" i="3"/>
  <c r="AU118" i="3"/>
  <c r="AC118" i="3"/>
  <c r="AT118" i="3"/>
  <c r="AB118" i="3"/>
  <c r="AS118" i="3"/>
  <c r="AA118" i="3"/>
  <c r="AR118" i="3"/>
  <c r="AP117" i="3"/>
  <c r="BG117" i="3"/>
  <c r="AO117" i="3"/>
  <c r="BF117" i="3"/>
  <c r="AN117" i="3"/>
  <c r="BE117" i="3"/>
  <c r="AM117" i="3"/>
  <c r="BD117" i="3"/>
  <c r="AL117" i="3"/>
  <c r="BC117" i="3"/>
  <c r="AK117" i="3"/>
  <c r="BB117" i="3"/>
  <c r="AJ117" i="3"/>
  <c r="BA117" i="3"/>
  <c r="AI117" i="3"/>
  <c r="AZ117" i="3"/>
  <c r="AH117" i="3"/>
  <c r="AY117" i="3"/>
  <c r="AG117" i="3"/>
  <c r="AX117" i="3"/>
  <c r="AF117" i="3"/>
  <c r="AW117" i="3"/>
  <c r="AE117" i="3"/>
  <c r="AV117" i="3"/>
  <c r="AD117" i="3"/>
  <c r="AU117" i="3"/>
  <c r="AC117" i="3"/>
  <c r="AT117" i="3"/>
  <c r="AB117" i="3"/>
  <c r="AS117" i="3"/>
  <c r="AA117" i="3"/>
  <c r="AR117" i="3"/>
  <c r="AP116" i="3"/>
  <c r="BG116" i="3"/>
  <c r="AO116" i="3"/>
  <c r="BF116" i="3"/>
  <c r="AN116" i="3"/>
  <c r="BE116" i="3"/>
  <c r="AM116" i="3"/>
  <c r="BD116" i="3"/>
  <c r="AL116" i="3"/>
  <c r="BC116" i="3"/>
  <c r="AK116" i="3"/>
  <c r="BB116" i="3"/>
  <c r="AJ116" i="3"/>
  <c r="BA116" i="3"/>
  <c r="AI116" i="3"/>
  <c r="AZ116" i="3"/>
  <c r="AH116" i="3"/>
  <c r="AY116" i="3"/>
  <c r="AG116" i="3"/>
  <c r="AX116" i="3"/>
  <c r="AF116" i="3"/>
  <c r="AW116" i="3"/>
  <c r="AE116" i="3"/>
  <c r="AV116" i="3"/>
  <c r="AD116" i="3"/>
  <c r="AU116" i="3"/>
  <c r="AC116" i="3"/>
  <c r="AT116" i="3"/>
  <c r="AB116" i="3"/>
  <c r="AS116" i="3"/>
  <c r="AA116" i="3"/>
  <c r="AR116" i="3"/>
  <c r="AP115" i="3"/>
  <c r="BG115" i="3"/>
  <c r="AO115" i="3"/>
  <c r="BF115" i="3"/>
  <c r="AN115" i="3"/>
  <c r="BE115" i="3"/>
  <c r="AM115" i="3"/>
  <c r="BD115" i="3"/>
  <c r="AL115" i="3"/>
  <c r="BC115" i="3"/>
  <c r="AK115" i="3"/>
  <c r="BB115" i="3"/>
  <c r="AJ115" i="3"/>
  <c r="BA115" i="3"/>
  <c r="AI115" i="3"/>
  <c r="AZ115" i="3"/>
  <c r="AH115" i="3"/>
  <c r="AY115" i="3"/>
  <c r="AG115" i="3"/>
  <c r="AX115" i="3"/>
  <c r="AF115" i="3"/>
  <c r="AW115" i="3"/>
  <c r="AE115" i="3"/>
  <c r="AV115" i="3"/>
  <c r="AD115" i="3"/>
  <c r="AU115" i="3"/>
  <c r="AC115" i="3"/>
  <c r="AT115" i="3"/>
  <c r="AB115" i="3"/>
  <c r="AS115" i="3"/>
  <c r="AA115" i="3"/>
  <c r="AR115" i="3"/>
  <c r="AP114" i="3"/>
  <c r="BG114" i="3"/>
  <c r="AO114" i="3"/>
  <c r="BF114" i="3"/>
  <c r="AN114" i="3"/>
  <c r="BE114" i="3"/>
  <c r="AM114" i="3"/>
  <c r="BD114" i="3"/>
  <c r="AL114" i="3"/>
  <c r="BC114" i="3"/>
  <c r="AK114" i="3"/>
  <c r="BB114" i="3"/>
  <c r="AJ114" i="3"/>
  <c r="BA114" i="3"/>
  <c r="AI114" i="3"/>
  <c r="AZ114" i="3"/>
  <c r="AH114" i="3"/>
  <c r="AY114" i="3"/>
  <c r="AG114" i="3"/>
  <c r="AX114" i="3"/>
  <c r="AF114" i="3"/>
  <c r="AW114" i="3"/>
  <c r="AE114" i="3"/>
  <c r="AV114" i="3"/>
  <c r="AD114" i="3"/>
  <c r="AU114" i="3"/>
  <c r="AC114" i="3"/>
  <c r="AT114" i="3"/>
  <c r="AB114" i="3"/>
  <c r="AS114" i="3"/>
  <c r="AA114" i="3"/>
  <c r="AR114" i="3"/>
  <c r="AP113" i="3"/>
  <c r="BG113" i="3"/>
  <c r="AO113" i="3"/>
  <c r="BF113" i="3"/>
  <c r="AN113" i="3"/>
  <c r="BE113" i="3"/>
  <c r="AM113" i="3"/>
  <c r="BD113" i="3"/>
  <c r="AL113" i="3"/>
  <c r="BC113" i="3"/>
  <c r="AK113" i="3"/>
  <c r="BB113" i="3"/>
  <c r="AJ113" i="3"/>
  <c r="BA113" i="3"/>
  <c r="AI113" i="3"/>
  <c r="AZ113" i="3"/>
  <c r="AH113" i="3"/>
  <c r="AY113" i="3"/>
  <c r="AG113" i="3"/>
  <c r="AX113" i="3"/>
  <c r="AF113" i="3"/>
  <c r="AW113" i="3"/>
  <c r="AE113" i="3"/>
  <c r="AV113" i="3"/>
  <c r="AD113" i="3"/>
  <c r="AU113" i="3"/>
  <c r="AC113" i="3"/>
  <c r="AT113" i="3"/>
  <c r="AB113" i="3"/>
  <c r="AS113" i="3"/>
  <c r="AA113" i="3"/>
  <c r="AR113" i="3"/>
  <c r="AP112" i="3"/>
  <c r="BG112" i="3"/>
  <c r="AO112" i="3"/>
  <c r="BF112" i="3"/>
  <c r="AN112" i="3"/>
  <c r="BE112" i="3"/>
  <c r="AM112" i="3"/>
  <c r="BD112" i="3"/>
  <c r="AL112" i="3"/>
  <c r="BC112" i="3"/>
  <c r="AK112" i="3"/>
  <c r="BB112" i="3"/>
  <c r="AJ112" i="3"/>
  <c r="BA112" i="3"/>
  <c r="AI112" i="3"/>
  <c r="AZ112" i="3"/>
  <c r="AH112" i="3"/>
  <c r="AY112" i="3"/>
  <c r="AG112" i="3"/>
  <c r="AX112" i="3"/>
  <c r="AF112" i="3"/>
  <c r="AW112" i="3"/>
  <c r="AE112" i="3"/>
  <c r="AV112" i="3"/>
  <c r="AD112" i="3"/>
  <c r="AU112" i="3"/>
  <c r="AC112" i="3"/>
  <c r="AT112" i="3"/>
  <c r="AB112" i="3"/>
  <c r="AS112" i="3"/>
  <c r="AA112" i="3"/>
  <c r="AR112" i="3"/>
  <c r="AP111" i="3"/>
  <c r="BG111" i="3"/>
  <c r="AO111" i="3"/>
  <c r="BF111" i="3"/>
  <c r="AN111" i="3"/>
  <c r="BE111" i="3"/>
  <c r="AM111" i="3"/>
  <c r="BD111" i="3"/>
  <c r="AL111" i="3"/>
  <c r="BC111" i="3"/>
  <c r="AK111" i="3"/>
  <c r="BB111" i="3"/>
  <c r="AJ111" i="3"/>
  <c r="BA111" i="3"/>
  <c r="AI111" i="3"/>
  <c r="AZ111" i="3"/>
  <c r="AH111" i="3"/>
  <c r="AY111" i="3"/>
  <c r="AG111" i="3"/>
  <c r="AX111" i="3"/>
  <c r="AF111" i="3"/>
  <c r="AW111" i="3"/>
  <c r="AE111" i="3"/>
  <c r="AV111" i="3"/>
  <c r="AD111" i="3"/>
  <c r="AU111" i="3"/>
  <c r="AC111" i="3"/>
  <c r="AT111" i="3"/>
  <c r="AB111" i="3"/>
  <c r="AS111" i="3"/>
  <c r="AA111" i="3"/>
  <c r="AR111" i="3"/>
  <c r="AP110" i="3"/>
  <c r="BG110" i="3"/>
  <c r="AO110" i="3"/>
  <c r="BF110" i="3"/>
  <c r="AN110" i="3"/>
  <c r="BE110" i="3"/>
  <c r="AM110" i="3"/>
  <c r="BD110" i="3"/>
  <c r="AL110" i="3"/>
  <c r="BC110" i="3"/>
  <c r="AK110" i="3"/>
  <c r="BB110" i="3"/>
  <c r="AJ110" i="3"/>
  <c r="BA110" i="3"/>
  <c r="AI110" i="3"/>
  <c r="AZ110" i="3"/>
  <c r="AH110" i="3"/>
  <c r="AY110" i="3"/>
  <c r="AG110" i="3"/>
  <c r="AX110" i="3"/>
  <c r="AF110" i="3"/>
  <c r="AW110" i="3"/>
  <c r="AE110" i="3"/>
  <c r="AV110" i="3"/>
  <c r="AD110" i="3"/>
  <c r="AU110" i="3"/>
  <c r="AC110" i="3"/>
  <c r="AT110" i="3"/>
  <c r="AB110" i="3"/>
  <c r="AS110" i="3"/>
  <c r="AA110" i="3"/>
  <c r="AR110" i="3"/>
  <c r="AP109" i="3"/>
  <c r="BG109" i="3"/>
  <c r="AO109" i="3"/>
  <c r="BF109" i="3"/>
  <c r="AN109" i="3"/>
  <c r="BE109" i="3"/>
  <c r="AM109" i="3"/>
  <c r="BD109" i="3"/>
  <c r="AL109" i="3"/>
  <c r="BC109" i="3"/>
  <c r="AK109" i="3"/>
  <c r="BB109" i="3"/>
  <c r="AJ109" i="3"/>
  <c r="BA109" i="3"/>
  <c r="AI109" i="3"/>
  <c r="AZ109" i="3"/>
  <c r="AH109" i="3"/>
  <c r="AY109" i="3"/>
  <c r="AG109" i="3"/>
  <c r="AX109" i="3"/>
  <c r="AF109" i="3"/>
  <c r="AW109" i="3"/>
  <c r="AE109" i="3"/>
  <c r="AV109" i="3"/>
  <c r="AD109" i="3"/>
  <c r="AU109" i="3"/>
  <c r="AC109" i="3"/>
  <c r="AT109" i="3"/>
  <c r="AB109" i="3"/>
  <c r="AS109" i="3"/>
  <c r="AA109" i="3"/>
  <c r="AR109" i="3"/>
  <c r="AP108" i="3"/>
  <c r="BG108" i="3"/>
  <c r="AO108" i="3"/>
  <c r="BF108" i="3"/>
  <c r="AN108" i="3"/>
  <c r="BE108" i="3"/>
  <c r="AM108" i="3"/>
  <c r="BD108" i="3"/>
  <c r="AL108" i="3"/>
  <c r="BC108" i="3"/>
  <c r="AK108" i="3"/>
  <c r="BB108" i="3"/>
  <c r="AJ108" i="3"/>
  <c r="BA108" i="3"/>
  <c r="AI108" i="3"/>
  <c r="AZ108" i="3"/>
  <c r="AH108" i="3"/>
  <c r="AY108" i="3"/>
  <c r="AG108" i="3"/>
  <c r="AX108" i="3"/>
  <c r="AF108" i="3"/>
  <c r="AW108" i="3"/>
  <c r="AE108" i="3"/>
  <c r="AV108" i="3"/>
  <c r="AD108" i="3"/>
  <c r="AU108" i="3"/>
  <c r="AC108" i="3"/>
  <c r="AT108" i="3"/>
  <c r="AB108" i="3"/>
  <c r="AS108" i="3"/>
  <c r="AA108" i="3"/>
  <c r="AR108" i="3"/>
  <c r="AP107" i="3"/>
  <c r="BG107" i="3"/>
  <c r="AO107" i="3"/>
  <c r="BF107" i="3"/>
  <c r="AN107" i="3"/>
  <c r="BE107" i="3"/>
  <c r="AM107" i="3"/>
  <c r="BD107" i="3"/>
  <c r="AL107" i="3"/>
  <c r="BC107" i="3"/>
  <c r="AK107" i="3"/>
  <c r="BB107" i="3"/>
  <c r="AJ107" i="3"/>
  <c r="BA107" i="3"/>
  <c r="AI107" i="3"/>
  <c r="AZ107" i="3"/>
  <c r="AH107" i="3"/>
  <c r="AY107" i="3"/>
  <c r="AG107" i="3"/>
  <c r="AX107" i="3"/>
  <c r="AF107" i="3"/>
  <c r="AW107" i="3"/>
  <c r="AE107" i="3"/>
  <c r="AV107" i="3"/>
  <c r="AD107" i="3"/>
  <c r="AU107" i="3"/>
  <c r="AC107" i="3"/>
  <c r="AT107" i="3"/>
  <c r="AB107" i="3"/>
  <c r="AS107" i="3"/>
  <c r="AA107" i="3"/>
  <c r="AR107" i="3"/>
  <c r="AP106" i="3"/>
  <c r="BG106" i="3"/>
  <c r="AO106" i="3"/>
  <c r="BF106" i="3"/>
  <c r="AN106" i="3"/>
  <c r="BE106" i="3"/>
  <c r="AM106" i="3"/>
  <c r="BD106" i="3"/>
  <c r="AL106" i="3"/>
  <c r="BC106" i="3"/>
  <c r="AK106" i="3"/>
  <c r="BB106" i="3"/>
  <c r="AJ106" i="3"/>
  <c r="BA106" i="3"/>
  <c r="AI106" i="3"/>
  <c r="AZ106" i="3"/>
  <c r="AH106" i="3"/>
  <c r="AY106" i="3"/>
  <c r="AG106" i="3"/>
  <c r="AX106" i="3"/>
  <c r="AF106" i="3"/>
  <c r="AW106" i="3"/>
  <c r="AE106" i="3"/>
  <c r="AV106" i="3"/>
  <c r="AD106" i="3"/>
  <c r="AU106" i="3"/>
  <c r="AC106" i="3"/>
  <c r="AT106" i="3"/>
  <c r="AB106" i="3"/>
  <c r="AS106" i="3"/>
  <c r="AA106" i="3"/>
  <c r="AR106" i="3"/>
  <c r="AP105" i="3"/>
  <c r="BG105" i="3"/>
  <c r="AO105" i="3"/>
  <c r="BF105" i="3"/>
  <c r="AN105" i="3"/>
  <c r="BE105" i="3"/>
  <c r="AM105" i="3"/>
  <c r="BD105" i="3"/>
  <c r="AL105" i="3"/>
  <c r="BC105" i="3"/>
  <c r="AK105" i="3"/>
  <c r="BB105" i="3"/>
  <c r="AJ105" i="3"/>
  <c r="BA105" i="3"/>
  <c r="AI105" i="3"/>
  <c r="AZ105" i="3"/>
  <c r="AH105" i="3"/>
  <c r="AY105" i="3"/>
  <c r="AG105" i="3"/>
  <c r="AX105" i="3"/>
  <c r="AF105" i="3"/>
  <c r="AW105" i="3"/>
  <c r="AE105" i="3"/>
  <c r="AV105" i="3"/>
  <c r="AD105" i="3"/>
  <c r="AU105" i="3"/>
  <c r="AC105" i="3"/>
  <c r="AT105" i="3"/>
  <c r="AB105" i="3"/>
  <c r="AS105" i="3"/>
  <c r="AA105" i="3"/>
  <c r="AR105" i="3"/>
  <c r="AP104" i="3"/>
  <c r="BG104" i="3"/>
  <c r="AO104" i="3"/>
  <c r="BF104" i="3"/>
  <c r="AN104" i="3"/>
  <c r="BE104" i="3"/>
  <c r="AM104" i="3"/>
  <c r="BD104" i="3"/>
  <c r="AL104" i="3"/>
  <c r="BC104" i="3"/>
  <c r="AK104" i="3"/>
  <c r="BB104" i="3"/>
  <c r="AJ104" i="3"/>
  <c r="BA104" i="3"/>
  <c r="AI104" i="3"/>
  <c r="AZ104" i="3"/>
  <c r="AH104" i="3"/>
  <c r="AY104" i="3"/>
  <c r="AG104" i="3"/>
  <c r="AX104" i="3"/>
  <c r="AF104" i="3"/>
  <c r="AW104" i="3"/>
  <c r="AE104" i="3"/>
  <c r="AV104" i="3"/>
  <c r="AD104" i="3"/>
  <c r="AU104" i="3"/>
  <c r="AC104" i="3"/>
  <c r="AT104" i="3"/>
  <c r="AB104" i="3"/>
  <c r="AS104" i="3"/>
  <c r="AA104" i="3"/>
  <c r="AR104" i="3"/>
  <c r="AP103" i="3"/>
  <c r="BG103" i="3"/>
  <c r="AO103" i="3"/>
  <c r="BF103" i="3"/>
  <c r="AN103" i="3"/>
  <c r="BE103" i="3"/>
  <c r="AM103" i="3"/>
  <c r="BD103" i="3"/>
  <c r="AL103" i="3"/>
  <c r="BC103" i="3"/>
  <c r="AK103" i="3"/>
  <c r="BB103" i="3"/>
  <c r="AJ103" i="3"/>
  <c r="BA103" i="3"/>
  <c r="AI103" i="3"/>
  <c r="AZ103" i="3"/>
  <c r="AH103" i="3"/>
  <c r="AY103" i="3"/>
  <c r="AG103" i="3"/>
  <c r="AX103" i="3"/>
  <c r="AF103" i="3"/>
  <c r="AW103" i="3"/>
  <c r="AE103" i="3"/>
  <c r="AV103" i="3"/>
  <c r="AD103" i="3"/>
  <c r="AU103" i="3"/>
  <c r="AC103" i="3"/>
  <c r="AT103" i="3"/>
  <c r="AB103" i="3"/>
  <c r="AS103" i="3"/>
  <c r="AA103" i="3"/>
  <c r="AR103" i="3"/>
  <c r="AP102" i="3"/>
  <c r="BG102" i="3"/>
  <c r="AO102" i="3"/>
  <c r="BF102" i="3"/>
  <c r="AN102" i="3"/>
  <c r="BE102" i="3"/>
  <c r="AM102" i="3"/>
  <c r="BD102" i="3"/>
  <c r="AL102" i="3"/>
  <c r="BC102" i="3"/>
  <c r="AK102" i="3"/>
  <c r="BB102" i="3"/>
  <c r="AJ102" i="3"/>
  <c r="BA102" i="3"/>
  <c r="AI102" i="3"/>
  <c r="AZ102" i="3"/>
  <c r="AH102" i="3"/>
  <c r="AY102" i="3"/>
  <c r="AG102" i="3"/>
  <c r="AX102" i="3"/>
  <c r="AF102" i="3"/>
  <c r="AW102" i="3"/>
  <c r="AE102" i="3"/>
  <c r="AV102" i="3"/>
  <c r="AD102" i="3"/>
  <c r="AU102" i="3"/>
  <c r="AC102" i="3"/>
  <c r="AT102" i="3"/>
  <c r="AB102" i="3"/>
  <c r="AS102" i="3"/>
  <c r="AA102" i="3"/>
  <c r="AR102" i="3"/>
  <c r="AP101" i="3"/>
  <c r="BG101" i="3"/>
  <c r="AO101" i="3"/>
  <c r="BF101" i="3"/>
  <c r="AN101" i="3"/>
  <c r="BE101" i="3"/>
  <c r="AM101" i="3"/>
  <c r="BD101" i="3"/>
  <c r="AL101" i="3"/>
  <c r="BC101" i="3"/>
  <c r="AK101" i="3"/>
  <c r="BB101" i="3"/>
  <c r="AJ101" i="3"/>
  <c r="BA101" i="3"/>
  <c r="AI101" i="3"/>
  <c r="AZ101" i="3"/>
  <c r="AH101" i="3"/>
  <c r="AY101" i="3"/>
  <c r="AG101" i="3"/>
  <c r="AX101" i="3"/>
  <c r="AF101" i="3"/>
  <c r="AW101" i="3"/>
  <c r="AE101" i="3"/>
  <c r="AV101" i="3"/>
  <c r="AD101" i="3"/>
  <c r="AU101" i="3"/>
  <c r="AC101" i="3"/>
  <c r="AT101" i="3"/>
  <c r="AB101" i="3"/>
  <c r="AS101" i="3"/>
  <c r="AA101" i="3"/>
  <c r="AR101" i="3"/>
  <c r="AP100" i="3"/>
  <c r="BG100" i="3"/>
  <c r="AO100" i="3"/>
  <c r="BF100" i="3"/>
  <c r="AN100" i="3"/>
  <c r="BE100" i="3"/>
  <c r="AM100" i="3"/>
  <c r="BD100" i="3"/>
  <c r="AL100" i="3"/>
  <c r="BC100" i="3"/>
  <c r="AK100" i="3"/>
  <c r="BB100" i="3"/>
  <c r="AJ100" i="3"/>
  <c r="BA100" i="3"/>
  <c r="AI100" i="3"/>
  <c r="AZ100" i="3"/>
  <c r="AH100" i="3"/>
  <c r="AY100" i="3"/>
  <c r="AG100" i="3"/>
  <c r="AX100" i="3"/>
  <c r="AF100" i="3"/>
  <c r="AW100" i="3"/>
  <c r="AE100" i="3"/>
  <c r="AV100" i="3"/>
  <c r="AD100" i="3"/>
  <c r="AU100" i="3"/>
  <c r="AC100" i="3"/>
  <c r="AT100" i="3"/>
  <c r="AB100" i="3"/>
  <c r="AS100" i="3"/>
  <c r="AA100" i="3"/>
  <c r="AR100" i="3"/>
  <c r="AP99" i="3"/>
  <c r="BG99" i="3"/>
  <c r="AO99" i="3"/>
  <c r="BF99" i="3"/>
  <c r="AN99" i="3"/>
  <c r="BE99" i="3"/>
  <c r="AM99" i="3"/>
  <c r="BD99" i="3"/>
  <c r="AL99" i="3"/>
  <c r="BC99" i="3"/>
  <c r="AK99" i="3"/>
  <c r="BB99" i="3"/>
  <c r="AJ99" i="3"/>
  <c r="BA99" i="3"/>
  <c r="AI99" i="3"/>
  <c r="AZ99" i="3"/>
  <c r="AH99" i="3"/>
  <c r="AY99" i="3"/>
  <c r="AG99" i="3"/>
  <c r="AX99" i="3"/>
  <c r="AF99" i="3"/>
  <c r="AW99" i="3"/>
  <c r="AE99" i="3"/>
  <c r="AV99" i="3"/>
  <c r="AD99" i="3"/>
  <c r="AU99" i="3"/>
  <c r="AC99" i="3"/>
  <c r="AT99" i="3"/>
  <c r="AB99" i="3"/>
  <c r="AS99" i="3"/>
  <c r="AA99" i="3"/>
  <c r="AR99" i="3"/>
  <c r="AP98" i="3"/>
  <c r="BG98" i="3"/>
  <c r="AO98" i="3"/>
  <c r="BF98" i="3"/>
  <c r="AN98" i="3"/>
  <c r="BE98" i="3"/>
  <c r="AM98" i="3"/>
  <c r="BD98" i="3"/>
  <c r="AL98" i="3"/>
  <c r="BC98" i="3"/>
  <c r="AK98" i="3"/>
  <c r="BB98" i="3"/>
  <c r="AJ98" i="3"/>
  <c r="BA98" i="3"/>
  <c r="AI98" i="3"/>
  <c r="AZ98" i="3"/>
  <c r="AH98" i="3"/>
  <c r="AY98" i="3"/>
  <c r="AG98" i="3"/>
  <c r="AX98" i="3"/>
  <c r="AF98" i="3"/>
  <c r="AW98" i="3"/>
  <c r="AE98" i="3"/>
  <c r="AV98" i="3"/>
  <c r="AD98" i="3"/>
  <c r="AU98" i="3"/>
  <c r="AC98" i="3"/>
  <c r="AT98" i="3"/>
  <c r="AB98" i="3"/>
  <c r="AS98" i="3"/>
  <c r="AA98" i="3"/>
  <c r="AR98" i="3"/>
  <c r="AP97" i="3"/>
  <c r="BG97" i="3"/>
  <c r="AO97" i="3"/>
  <c r="BF97" i="3"/>
  <c r="AN97" i="3"/>
  <c r="BE97" i="3"/>
  <c r="AM97" i="3"/>
  <c r="BD97" i="3"/>
  <c r="AL97" i="3"/>
  <c r="BC97" i="3"/>
  <c r="AK97" i="3"/>
  <c r="BB97" i="3"/>
  <c r="AJ97" i="3"/>
  <c r="BA97" i="3"/>
  <c r="AI97" i="3"/>
  <c r="AZ97" i="3"/>
  <c r="AH97" i="3"/>
  <c r="AY97" i="3"/>
  <c r="AG97" i="3"/>
  <c r="AX97" i="3"/>
  <c r="AF97" i="3"/>
  <c r="AW97" i="3"/>
  <c r="AE97" i="3"/>
  <c r="AV97" i="3"/>
  <c r="AD97" i="3"/>
  <c r="AU97" i="3"/>
  <c r="AC97" i="3"/>
  <c r="AT97" i="3"/>
  <c r="AB97" i="3"/>
  <c r="AS97" i="3"/>
  <c r="AA97" i="3"/>
  <c r="AR97" i="3"/>
  <c r="AP96" i="3"/>
  <c r="BG96" i="3"/>
  <c r="AO96" i="3"/>
  <c r="BF96" i="3"/>
  <c r="AN96" i="3"/>
  <c r="BE96" i="3"/>
  <c r="AM96" i="3"/>
  <c r="BD96" i="3"/>
  <c r="AL96" i="3"/>
  <c r="BC96" i="3"/>
  <c r="AK96" i="3"/>
  <c r="BB96" i="3"/>
  <c r="AJ96" i="3"/>
  <c r="BA96" i="3"/>
  <c r="AI96" i="3"/>
  <c r="AZ96" i="3"/>
  <c r="AH96" i="3"/>
  <c r="AY96" i="3"/>
  <c r="AG96" i="3"/>
  <c r="AX96" i="3"/>
  <c r="AF96" i="3"/>
  <c r="AW96" i="3"/>
  <c r="AE96" i="3"/>
  <c r="AV96" i="3"/>
  <c r="AD96" i="3"/>
  <c r="AU96" i="3"/>
  <c r="AC96" i="3"/>
  <c r="AT96" i="3"/>
  <c r="AB96" i="3"/>
  <c r="AS96" i="3"/>
  <c r="AA96" i="3"/>
  <c r="AR96" i="3"/>
  <c r="AP95" i="3"/>
  <c r="BG95" i="3"/>
  <c r="AO95" i="3"/>
  <c r="BF95" i="3"/>
  <c r="AN95" i="3"/>
  <c r="BE95" i="3"/>
  <c r="AM95" i="3"/>
  <c r="BD95" i="3"/>
  <c r="AL95" i="3"/>
  <c r="BC95" i="3"/>
  <c r="AK95" i="3"/>
  <c r="BB95" i="3"/>
  <c r="AJ95" i="3"/>
  <c r="BA95" i="3"/>
  <c r="AI95" i="3"/>
  <c r="AZ95" i="3"/>
  <c r="AH95" i="3"/>
  <c r="AY95" i="3"/>
  <c r="AG95" i="3"/>
  <c r="AX95" i="3"/>
  <c r="AF95" i="3"/>
  <c r="AW95" i="3"/>
  <c r="AE95" i="3"/>
  <c r="AV95" i="3"/>
  <c r="AD95" i="3"/>
  <c r="AU95" i="3"/>
  <c r="AC95" i="3"/>
  <c r="AT95" i="3"/>
  <c r="AB95" i="3"/>
  <c r="AS95" i="3"/>
  <c r="AA95" i="3"/>
  <c r="AR95" i="3"/>
  <c r="AP94" i="3"/>
  <c r="BG94" i="3"/>
  <c r="AO94" i="3"/>
  <c r="BF94" i="3"/>
  <c r="AN94" i="3"/>
  <c r="BE94" i="3"/>
  <c r="AM94" i="3"/>
  <c r="BD94" i="3"/>
  <c r="AL94" i="3"/>
  <c r="BC94" i="3"/>
  <c r="AK94" i="3"/>
  <c r="BB94" i="3"/>
  <c r="AJ94" i="3"/>
  <c r="BA94" i="3"/>
  <c r="AI94" i="3"/>
  <c r="AZ94" i="3"/>
  <c r="AH94" i="3"/>
  <c r="AY94" i="3"/>
  <c r="AG94" i="3"/>
  <c r="AX94" i="3"/>
  <c r="AF94" i="3"/>
  <c r="AW94" i="3"/>
  <c r="AE94" i="3"/>
  <c r="AV94" i="3"/>
  <c r="AD94" i="3"/>
  <c r="AU94" i="3"/>
  <c r="AC94" i="3"/>
  <c r="AT94" i="3"/>
  <c r="AB94" i="3"/>
  <c r="AS94" i="3"/>
  <c r="AA94" i="3"/>
  <c r="AR94" i="3"/>
  <c r="AP93" i="3"/>
  <c r="BG93" i="3"/>
  <c r="AO93" i="3"/>
  <c r="BF93" i="3"/>
  <c r="AN93" i="3"/>
  <c r="BE93" i="3"/>
  <c r="AM93" i="3"/>
  <c r="BD93" i="3"/>
  <c r="AL93" i="3"/>
  <c r="BC93" i="3"/>
  <c r="AK93" i="3"/>
  <c r="BB93" i="3"/>
  <c r="AJ93" i="3"/>
  <c r="BA93" i="3"/>
  <c r="AI93" i="3"/>
  <c r="AZ93" i="3"/>
  <c r="AH93" i="3"/>
  <c r="AY93" i="3"/>
  <c r="AG93" i="3"/>
  <c r="AX93" i="3"/>
  <c r="AF93" i="3"/>
  <c r="AW93" i="3"/>
  <c r="AE93" i="3"/>
  <c r="AV93" i="3"/>
  <c r="AD93" i="3"/>
  <c r="AU93" i="3"/>
  <c r="AC93" i="3"/>
  <c r="AT93" i="3"/>
  <c r="AB93" i="3"/>
  <c r="AS93" i="3"/>
  <c r="AA93" i="3"/>
  <c r="AR93" i="3"/>
  <c r="AP92" i="3"/>
  <c r="BG92" i="3"/>
  <c r="AO92" i="3"/>
  <c r="BF92" i="3"/>
  <c r="AN92" i="3"/>
  <c r="BE92" i="3"/>
  <c r="AM92" i="3"/>
  <c r="BD92" i="3"/>
  <c r="AL92" i="3"/>
  <c r="BC92" i="3"/>
  <c r="AK92" i="3"/>
  <c r="BB92" i="3"/>
  <c r="AJ92" i="3"/>
  <c r="BA92" i="3"/>
  <c r="AI92" i="3"/>
  <c r="AZ92" i="3"/>
  <c r="AH92" i="3"/>
  <c r="AY92" i="3"/>
  <c r="AG92" i="3"/>
  <c r="AX92" i="3"/>
  <c r="AF92" i="3"/>
  <c r="AW92" i="3"/>
  <c r="AE92" i="3"/>
  <c r="AV92" i="3"/>
  <c r="AD92" i="3"/>
  <c r="AU92" i="3"/>
  <c r="AC92" i="3"/>
  <c r="AT92" i="3"/>
  <c r="AB92" i="3"/>
  <c r="AS92" i="3"/>
  <c r="AA92" i="3"/>
  <c r="AR92" i="3"/>
  <c r="AP91" i="3"/>
  <c r="BG91" i="3"/>
  <c r="AO91" i="3"/>
  <c r="BF91" i="3"/>
  <c r="AN91" i="3"/>
  <c r="BE91" i="3"/>
  <c r="AM91" i="3"/>
  <c r="BD91" i="3"/>
  <c r="AL91" i="3"/>
  <c r="BC91" i="3"/>
  <c r="AK91" i="3"/>
  <c r="BB91" i="3"/>
  <c r="AJ91" i="3"/>
  <c r="BA91" i="3"/>
  <c r="AI91" i="3"/>
  <c r="AZ91" i="3"/>
  <c r="AH91" i="3"/>
  <c r="AY91" i="3"/>
  <c r="AG91" i="3"/>
  <c r="AX91" i="3"/>
  <c r="AF91" i="3"/>
  <c r="AW91" i="3"/>
  <c r="AE91" i="3"/>
  <c r="AV91" i="3"/>
  <c r="AD91" i="3"/>
  <c r="AU91" i="3"/>
  <c r="AC91" i="3"/>
  <c r="AT91" i="3"/>
  <c r="AB91" i="3"/>
  <c r="AS91" i="3"/>
  <c r="AA91" i="3"/>
  <c r="AR91" i="3"/>
  <c r="AP90" i="3"/>
  <c r="BG90" i="3"/>
  <c r="AO90" i="3"/>
  <c r="BF90" i="3"/>
  <c r="AN90" i="3"/>
  <c r="BE90" i="3"/>
  <c r="AM90" i="3"/>
  <c r="BD90" i="3"/>
  <c r="AL90" i="3"/>
  <c r="BC90" i="3"/>
  <c r="AK90" i="3"/>
  <c r="BB90" i="3"/>
  <c r="AJ90" i="3"/>
  <c r="BA90" i="3"/>
  <c r="AI90" i="3"/>
  <c r="AZ90" i="3"/>
  <c r="AH90" i="3"/>
  <c r="AY90" i="3"/>
  <c r="AG90" i="3"/>
  <c r="AX90" i="3"/>
  <c r="AF90" i="3"/>
  <c r="AW90" i="3"/>
  <c r="AE90" i="3"/>
  <c r="AV90" i="3"/>
  <c r="AD90" i="3"/>
  <c r="AU90" i="3"/>
  <c r="AC90" i="3"/>
  <c r="AT90" i="3"/>
  <c r="AB90" i="3"/>
  <c r="AS90" i="3"/>
  <c r="AA90" i="3"/>
  <c r="AR90" i="3"/>
  <c r="AP89" i="3"/>
  <c r="BG89" i="3"/>
  <c r="AO89" i="3"/>
  <c r="BF89" i="3"/>
  <c r="AN89" i="3"/>
  <c r="BE89" i="3"/>
  <c r="AM89" i="3"/>
  <c r="BD89" i="3"/>
  <c r="AL89" i="3"/>
  <c r="BC89" i="3"/>
  <c r="AK89" i="3"/>
  <c r="BB89" i="3"/>
  <c r="AJ89" i="3"/>
  <c r="BA89" i="3"/>
  <c r="AI89" i="3"/>
  <c r="AZ89" i="3"/>
  <c r="AH89" i="3"/>
  <c r="AY89" i="3"/>
  <c r="AG89" i="3"/>
  <c r="AX89" i="3"/>
  <c r="AF89" i="3"/>
  <c r="AW89" i="3"/>
  <c r="AE89" i="3"/>
  <c r="AV89" i="3"/>
  <c r="AD89" i="3"/>
  <c r="AU89" i="3"/>
  <c r="AC89" i="3"/>
  <c r="AT89" i="3"/>
  <c r="AB89" i="3"/>
  <c r="AS89" i="3"/>
  <c r="AA89" i="3"/>
  <c r="AR89" i="3"/>
  <c r="AP88" i="3"/>
  <c r="BG88" i="3"/>
  <c r="AO88" i="3"/>
  <c r="BF88" i="3"/>
  <c r="AN88" i="3"/>
  <c r="BE88" i="3"/>
  <c r="AM88" i="3"/>
  <c r="BD88" i="3"/>
  <c r="AL88" i="3"/>
  <c r="BC88" i="3"/>
  <c r="AK88" i="3"/>
  <c r="BB88" i="3"/>
  <c r="AJ88" i="3"/>
  <c r="BA88" i="3"/>
  <c r="AI88" i="3"/>
  <c r="AZ88" i="3"/>
  <c r="AH88" i="3"/>
  <c r="AY88" i="3"/>
  <c r="AG88" i="3"/>
  <c r="AX88" i="3"/>
  <c r="AF88" i="3"/>
  <c r="AW88" i="3"/>
  <c r="AE88" i="3"/>
  <c r="AV88" i="3"/>
  <c r="AD88" i="3"/>
  <c r="AU88" i="3"/>
  <c r="AC88" i="3"/>
  <c r="AT88" i="3"/>
  <c r="AB88" i="3"/>
  <c r="AS88" i="3"/>
  <c r="AA88" i="3"/>
  <c r="AR88" i="3"/>
  <c r="AP87" i="3"/>
  <c r="BG87" i="3"/>
  <c r="AO87" i="3"/>
  <c r="BF87" i="3"/>
  <c r="AN87" i="3"/>
  <c r="BE87" i="3"/>
  <c r="AM87" i="3"/>
  <c r="BD87" i="3"/>
  <c r="AL87" i="3"/>
  <c r="BC87" i="3"/>
  <c r="AK87" i="3"/>
  <c r="BB87" i="3"/>
  <c r="AJ87" i="3"/>
  <c r="BA87" i="3"/>
  <c r="AI87" i="3"/>
  <c r="AZ87" i="3"/>
  <c r="AH87" i="3"/>
  <c r="AY87" i="3"/>
  <c r="AG87" i="3"/>
  <c r="AX87" i="3"/>
  <c r="AF87" i="3"/>
  <c r="AW87" i="3"/>
  <c r="AE87" i="3"/>
  <c r="AV87" i="3"/>
  <c r="AD87" i="3"/>
  <c r="AU87" i="3"/>
  <c r="AC87" i="3"/>
  <c r="AT87" i="3"/>
  <c r="AB87" i="3"/>
  <c r="AS87" i="3"/>
  <c r="AA87" i="3"/>
  <c r="AR87" i="3"/>
  <c r="AP86" i="3"/>
  <c r="BG86" i="3"/>
  <c r="AO86" i="3"/>
  <c r="BF86" i="3"/>
  <c r="AN86" i="3"/>
  <c r="BE86" i="3"/>
  <c r="AM86" i="3"/>
  <c r="BD86" i="3"/>
  <c r="AL86" i="3"/>
  <c r="BC86" i="3"/>
  <c r="AK86" i="3"/>
  <c r="BB86" i="3"/>
  <c r="AJ86" i="3"/>
  <c r="BA86" i="3"/>
  <c r="AI86" i="3"/>
  <c r="AZ86" i="3"/>
  <c r="AH86" i="3"/>
  <c r="AY86" i="3"/>
  <c r="AG86" i="3"/>
  <c r="AX86" i="3"/>
  <c r="AF86" i="3"/>
  <c r="AW86" i="3"/>
  <c r="AE86" i="3"/>
  <c r="AV86" i="3"/>
  <c r="AD86" i="3"/>
  <c r="AU86" i="3"/>
  <c r="AC86" i="3"/>
  <c r="AT86" i="3"/>
  <c r="AB86" i="3"/>
  <c r="AS86" i="3"/>
  <c r="AA86" i="3"/>
  <c r="AR86" i="3"/>
  <c r="AP85" i="3"/>
  <c r="BG85" i="3"/>
  <c r="AO85" i="3"/>
  <c r="BF85" i="3"/>
  <c r="AN85" i="3"/>
  <c r="BE85" i="3"/>
  <c r="AM85" i="3"/>
  <c r="BD85" i="3"/>
  <c r="AL85" i="3"/>
  <c r="BC85" i="3"/>
  <c r="AK85" i="3"/>
  <c r="BB85" i="3"/>
  <c r="AJ85" i="3"/>
  <c r="BA85" i="3"/>
  <c r="AI85" i="3"/>
  <c r="AZ85" i="3"/>
  <c r="AH85" i="3"/>
  <c r="AY85" i="3"/>
  <c r="AG85" i="3"/>
  <c r="AX85" i="3"/>
  <c r="AF85" i="3"/>
  <c r="AW85" i="3"/>
  <c r="AE85" i="3"/>
  <c r="AV85" i="3"/>
  <c r="AD85" i="3"/>
  <c r="AU85" i="3"/>
  <c r="AC85" i="3"/>
  <c r="AT85" i="3"/>
  <c r="AB85" i="3"/>
  <c r="AS85" i="3"/>
  <c r="AA85" i="3"/>
  <c r="AR85" i="3"/>
  <c r="AP84" i="3"/>
  <c r="BG84" i="3"/>
  <c r="AO84" i="3"/>
  <c r="BF84" i="3"/>
  <c r="AN84" i="3"/>
  <c r="BE84" i="3"/>
  <c r="AM84" i="3"/>
  <c r="BD84" i="3"/>
  <c r="AL84" i="3"/>
  <c r="BC84" i="3"/>
  <c r="AK84" i="3"/>
  <c r="BB84" i="3"/>
  <c r="AJ84" i="3"/>
  <c r="BA84" i="3"/>
  <c r="AI84" i="3"/>
  <c r="AZ84" i="3"/>
  <c r="AH84" i="3"/>
  <c r="AY84" i="3"/>
  <c r="AG84" i="3"/>
  <c r="AX84" i="3"/>
  <c r="AF84" i="3"/>
  <c r="AW84" i="3"/>
  <c r="AE84" i="3"/>
  <c r="AV84" i="3"/>
  <c r="AD84" i="3"/>
  <c r="AU84" i="3"/>
  <c r="AC84" i="3"/>
  <c r="AT84" i="3"/>
  <c r="AB84" i="3"/>
  <c r="AS84" i="3"/>
  <c r="AA84" i="3"/>
  <c r="AR84" i="3"/>
  <c r="AP83" i="3"/>
  <c r="BG83" i="3"/>
  <c r="AO83" i="3"/>
  <c r="BF83" i="3"/>
  <c r="AN83" i="3"/>
  <c r="BE83" i="3"/>
  <c r="AM83" i="3"/>
  <c r="BD83" i="3"/>
  <c r="AL83" i="3"/>
  <c r="BC83" i="3"/>
  <c r="AK83" i="3"/>
  <c r="BB83" i="3"/>
  <c r="AJ83" i="3"/>
  <c r="BA83" i="3"/>
  <c r="AI83" i="3"/>
  <c r="AZ83" i="3"/>
  <c r="AH83" i="3"/>
  <c r="AY83" i="3"/>
  <c r="AG83" i="3"/>
  <c r="AX83" i="3"/>
  <c r="AF83" i="3"/>
  <c r="AW83" i="3"/>
  <c r="AE83" i="3"/>
  <c r="AV83" i="3"/>
  <c r="AD83" i="3"/>
  <c r="AU83" i="3"/>
  <c r="AC83" i="3"/>
  <c r="AT83" i="3"/>
  <c r="AB83" i="3"/>
  <c r="AS83" i="3"/>
  <c r="AA83" i="3"/>
  <c r="AR83" i="3"/>
  <c r="AP82" i="3"/>
  <c r="BG82" i="3"/>
  <c r="AO82" i="3"/>
  <c r="BF82" i="3"/>
  <c r="AN82" i="3"/>
  <c r="BE82" i="3"/>
  <c r="AM82" i="3"/>
  <c r="BD82" i="3"/>
  <c r="AL82" i="3"/>
  <c r="BC82" i="3"/>
  <c r="AK82" i="3"/>
  <c r="BB82" i="3"/>
  <c r="AJ82" i="3"/>
  <c r="BA82" i="3"/>
  <c r="AI82" i="3"/>
  <c r="AZ82" i="3"/>
  <c r="AH82" i="3"/>
  <c r="AY82" i="3"/>
  <c r="AG82" i="3"/>
  <c r="AX82" i="3"/>
  <c r="AF82" i="3"/>
  <c r="AW82" i="3"/>
  <c r="AE82" i="3"/>
  <c r="AV82" i="3"/>
  <c r="AD82" i="3"/>
  <c r="AU82" i="3"/>
  <c r="AC82" i="3"/>
  <c r="AT82" i="3"/>
  <c r="AB82" i="3"/>
  <c r="AS82" i="3"/>
  <c r="AA82" i="3"/>
  <c r="AR82" i="3"/>
  <c r="AP81" i="3"/>
  <c r="BG81" i="3"/>
  <c r="AO81" i="3"/>
  <c r="BF81" i="3"/>
  <c r="AN81" i="3"/>
  <c r="BE81" i="3"/>
  <c r="AM81" i="3"/>
  <c r="BD81" i="3"/>
  <c r="AL81" i="3"/>
  <c r="BC81" i="3"/>
  <c r="AK81" i="3"/>
  <c r="BB81" i="3"/>
  <c r="AJ81" i="3"/>
  <c r="BA81" i="3"/>
  <c r="AI81" i="3"/>
  <c r="AZ81" i="3"/>
  <c r="AH81" i="3"/>
  <c r="AY81" i="3"/>
  <c r="AG81" i="3"/>
  <c r="AX81" i="3"/>
  <c r="AF81" i="3"/>
  <c r="AW81" i="3"/>
  <c r="AE81" i="3"/>
  <c r="AV81" i="3"/>
  <c r="AD81" i="3"/>
  <c r="AU81" i="3"/>
  <c r="AC81" i="3"/>
  <c r="AT81" i="3"/>
  <c r="AB81" i="3"/>
  <c r="AS81" i="3"/>
  <c r="AA81" i="3"/>
  <c r="AR81" i="3"/>
  <c r="AP80" i="3"/>
  <c r="BG80" i="3"/>
  <c r="AO80" i="3"/>
  <c r="BF80" i="3"/>
  <c r="AN80" i="3"/>
  <c r="BE80" i="3"/>
  <c r="AM80" i="3"/>
  <c r="BD80" i="3"/>
  <c r="AL80" i="3"/>
  <c r="BC80" i="3"/>
  <c r="AK80" i="3"/>
  <c r="BB80" i="3"/>
  <c r="AJ80" i="3"/>
  <c r="BA80" i="3"/>
  <c r="AI80" i="3"/>
  <c r="AZ80" i="3"/>
  <c r="AH80" i="3"/>
  <c r="AY80" i="3"/>
  <c r="AG80" i="3"/>
  <c r="AX80" i="3"/>
  <c r="AF80" i="3"/>
  <c r="AW80" i="3"/>
  <c r="AE80" i="3"/>
  <c r="AV80" i="3"/>
  <c r="AD80" i="3"/>
  <c r="AU80" i="3"/>
  <c r="AC80" i="3"/>
  <c r="AT80" i="3"/>
  <c r="AB80" i="3"/>
  <c r="AS80" i="3"/>
  <c r="AA80" i="3"/>
  <c r="AR80" i="3"/>
  <c r="AP79" i="3"/>
  <c r="BG79" i="3"/>
  <c r="AO79" i="3"/>
  <c r="BF79" i="3"/>
  <c r="AN79" i="3"/>
  <c r="BE79" i="3"/>
  <c r="AM79" i="3"/>
  <c r="BD79" i="3"/>
  <c r="AL79" i="3"/>
  <c r="BC79" i="3"/>
  <c r="AK79" i="3"/>
  <c r="BB79" i="3"/>
  <c r="AJ79" i="3"/>
  <c r="BA79" i="3"/>
  <c r="AI79" i="3"/>
  <c r="AZ79" i="3"/>
  <c r="AH79" i="3"/>
  <c r="AY79" i="3"/>
  <c r="AG79" i="3"/>
  <c r="AX79" i="3"/>
  <c r="AF79" i="3"/>
  <c r="AW79" i="3"/>
  <c r="AE79" i="3"/>
  <c r="AV79" i="3"/>
  <c r="AD79" i="3"/>
  <c r="AU79" i="3"/>
  <c r="AC79" i="3"/>
  <c r="AT79" i="3"/>
  <c r="AB79" i="3"/>
  <c r="AS79" i="3"/>
  <c r="AA79" i="3"/>
  <c r="AR79" i="3"/>
  <c r="AP78" i="3"/>
  <c r="BG78" i="3"/>
  <c r="AO78" i="3"/>
  <c r="BF78" i="3"/>
  <c r="AN78" i="3"/>
  <c r="BE78" i="3"/>
  <c r="AM78" i="3"/>
  <c r="BD78" i="3"/>
  <c r="AL78" i="3"/>
  <c r="BC78" i="3"/>
  <c r="AK78" i="3"/>
  <c r="BB78" i="3"/>
  <c r="AJ78" i="3"/>
  <c r="BA78" i="3"/>
  <c r="AI78" i="3"/>
  <c r="AZ78" i="3"/>
  <c r="AH78" i="3"/>
  <c r="AY78" i="3"/>
  <c r="AG78" i="3"/>
  <c r="AX78" i="3"/>
  <c r="AF78" i="3"/>
  <c r="AW78" i="3"/>
  <c r="AE78" i="3"/>
  <c r="AV78" i="3"/>
  <c r="AD78" i="3"/>
  <c r="AU78" i="3"/>
  <c r="AC78" i="3"/>
  <c r="AT78" i="3"/>
  <c r="AB78" i="3"/>
  <c r="AS78" i="3"/>
  <c r="AA78" i="3"/>
  <c r="AR78" i="3"/>
  <c r="AP77" i="3"/>
  <c r="BG77" i="3"/>
  <c r="AO77" i="3"/>
  <c r="BF77" i="3"/>
  <c r="AN77" i="3"/>
  <c r="BE77" i="3"/>
  <c r="AM77" i="3"/>
  <c r="BD77" i="3"/>
  <c r="AL77" i="3"/>
  <c r="BC77" i="3"/>
  <c r="AK77" i="3"/>
  <c r="BB77" i="3"/>
  <c r="AJ77" i="3"/>
  <c r="BA77" i="3"/>
  <c r="AI77" i="3"/>
  <c r="AZ77" i="3"/>
  <c r="AH77" i="3"/>
  <c r="AY77" i="3"/>
  <c r="AG77" i="3"/>
  <c r="AX77" i="3"/>
  <c r="AF77" i="3"/>
  <c r="AW77" i="3"/>
  <c r="AE77" i="3"/>
  <c r="AV77" i="3"/>
  <c r="AD77" i="3"/>
  <c r="AU77" i="3"/>
  <c r="AC77" i="3"/>
  <c r="AT77" i="3"/>
  <c r="AB77" i="3"/>
  <c r="AS77" i="3"/>
  <c r="AA77" i="3"/>
  <c r="AR77" i="3"/>
  <c r="AP76" i="3"/>
  <c r="BG76" i="3"/>
  <c r="AO76" i="3"/>
  <c r="BF76" i="3"/>
  <c r="AN76" i="3"/>
  <c r="BE76" i="3"/>
  <c r="AM76" i="3"/>
  <c r="BD76" i="3"/>
  <c r="AL76" i="3"/>
  <c r="BC76" i="3"/>
  <c r="AK76" i="3"/>
  <c r="BB76" i="3"/>
  <c r="AJ76" i="3"/>
  <c r="BA76" i="3"/>
  <c r="AI76" i="3"/>
  <c r="AZ76" i="3"/>
  <c r="AH76" i="3"/>
  <c r="AY76" i="3"/>
  <c r="AG76" i="3"/>
  <c r="AX76" i="3"/>
  <c r="AF76" i="3"/>
  <c r="AW76" i="3"/>
  <c r="AE76" i="3"/>
  <c r="AV76" i="3"/>
  <c r="AD76" i="3"/>
  <c r="AU76" i="3"/>
  <c r="AC76" i="3"/>
  <c r="AT76" i="3"/>
  <c r="AB76" i="3"/>
  <c r="AS76" i="3"/>
  <c r="AA76" i="3"/>
  <c r="AR76" i="3"/>
  <c r="AP75" i="3"/>
  <c r="BG75" i="3"/>
  <c r="AO75" i="3"/>
  <c r="BF75" i="3"/>
  <c r="AN75" i="3"/>
  <c r="BE75" i="3"/>
  <c r="AM75" i="3"/>
  <c r="BD75" i="3"/>
  <c r="AL75" i="3"/>
  <c r="BC75" i="3"/>
  <c r="AK75" i="3"/>
  <c r="BB75" i="3"/>
  <c r="AJ75" i="3"/>
  <c r="BA75" i="3"/>
  <c r="AI75" i="3"/>
  <c r="AZ75" i="3"/>
  <c r="AH75" i="3"/>
  <c r="AY75" i="3"/>
  <c r="AG75" i="3"/>
  <c r="AX75" i="3"/>
  <c r="AF75" i="3"/>
  <c r="AW75" i="3"/>
  <c r="AE75" i="3"/>
  <c r="AV75" i="3"/>
  <c r="AD75" i="3"/>
  <c r="AU75" i="3"/>
  <c r="AC75" i="3"/>
  <c r="AT75" i="3"/>
  <c r="AB75" i="3"/>
  <c r="AS75" i="3"/>
  <c r="AA75" i="3"/>
  <c r="AR75" i="3"/>
  <c r="AP74" i="3"/>
  <c r="BG74" i="3"/>
  <c r="AO74" i="3"/>
  <c r="BF74" i="3"/>
  <c r="AN74" i="3"/>
  <c r="BE74" i="3"/>
  <c r="AM74" i="3"/>
  <c r="BD74" i="3"/>
  <c r="AL74" i="3"/>
  <c r="BC74" i="3"/>
  <c r="AK74" i="3"/>
  <c r="BB74" i="3"/>
  <c r="AJ74" i="3"/>
  <c r="BA74" i="3"/>
  <c r="AI74" i="3"/>
  <c r="AZ74" i="3"/>
  <c r="AH74" i="3"/>
  <c r="AY74" i="3"/>
  <c r="AG74" i="3"/>
  <c r="AX74" i="3"/>
  <c r="AF74" i="3"/>
  <c r="AW74" i="3"/>
  <c r="AE74" i="3"/>
  <c r="AV74" i="3"/>
  <c r="AD74" i="3"/>
  <c r="AU74" i="3"/>
  <c r="AC74" i="3"/>
  <c r="AT74" i="3"/>
  <c r="AB74" i="3"/>
  <c r="AS74" i="3"/>
  <c r="AA74" i="3"/>
  <c r="AR74" i="3"/>
  <c r="AP73" i="3"/>
  <c r="BG73" i="3"/>
  <c r="AO73" i="3"/>
  <c r="BF73" i="3"/>
  <c r="AN73" i="3"/>
  <c r="BE73" i="3"/>
  <c r="AM73" i="3"/>
  <c r="BD73" i="3"/>
  <c r="AL73" i="3"/>
  <c r="BC73" i="3"/>
  <c r="AK73" i="3"/>
  <c r="BB73" i="3"/>
  <c r="AJ73" i="3"/>
  <c r="BA73" i="3"/>
  <c r="AI73" i="3"/>
  <c r="AZ73" i="3"/>
  <c r="AH73" i="3"/>
  <c r="AY73" i="3"/>
  <c r="AG73" i="3"/>
  <c r="AX73" i="3"/>
  <c r="AF73" i="3"/>
  <c r="AW73" i="3"/>
  <c r="AE73" i="3"/>
  <c r="AV73" i="3"/>
  <c r="AD73" i="3"/>
  <c r="AU73" i="3"/>
  <c r="AC73" i="3"/>
  <c r="AT73" i="3"/>
  <c r="AB73" i="3"/>
  <c r="AS73" i="3"/>
  <c r="AA73" i="3"/>
  <c r="AR73" i="3"/>
  <c r="AP72" i="3"/>
  <c r="BG72" i="3"/>
  <c r="AO72" i="3"/>
  <c r="BF72" i="3"/>
  <c r="AN72" i="3"/>
  <c r="BE72" i="3"/>
  <c r="AM72" i="3"/>
  <c r="BD72" i="3"/>
  <c r="AL72" i="3"/>
  <c r="BC72" i="3"/>
  <c r="AK72" i="3"/>
  <c r="BB72" i="3"/>
  <c r="AJ72" i="3"/>
  <c r="BA72" i="3"/>
  <c r="AI72" i="3"/>
  <c r="AZ72" i="3"/>
  <c r="AH72" i="3"/>
  <c r="AY72" i="3"/>
  <c r="AG72" i="3"/>
  <c r="AX72" i="3"/>
  <c r="AF72" i="3"/>
  <c r="AW72" i="3"/>
  <c r="AE72" i="3"/>
  <c r="AV72" i="3"/>
  <c r="AD72" i="3"/>
  <c r="AU72" i="3"/>
  <c r="AC72" i="3"/>
  <c r="AT72" i="3"/>
  <c r="AB72" i="3"/>
  <c r="AS72" i="3"/>
  <c r="AA72" i="3"/>
  <c r="AR72" i="3"/>
  <c r="AP71" i="3"/>
  <c r="BG71" i="3"/>
  <c r="AO71" i="3"/>
  <c r="BF71" i="3"/>
  <c r="AN71" i="3"/>
  <c r="BE71" i="3"/>
  <c r="AM71" i="3"/>
  <c r="BD71" i="3"/>
  <c r="AL71" i="3"/>
  <c r="BC71" i="3"/>
  <c r="AK71" i="3"/>
  <c r="BB71" i="3"/>
  <c r="AJ71" i="3"/>
  <c r="BA71" i="3"/>
  <c r="AI71" i="3"/>
  <c r="AZ71" i="3"/>
  <c r="AH71" i="3"/>
  <c r="AY71" i="3"/>
  <c r="AG71" i="3"/>
  <c r="AX71" i="3"/>
  <c r="AF71" i="3"/>
  <c r="AW71" i="3"/>
  <c r="AE71" i="3"/>
  <c r="AV71" i="3"/>
  <c r="AD71" i="3"/>
  <c r="AU71" i="3"/>
  <c r="AC71" i="3"/>
  <c r="AT71" i="3"/>
  <c r="AB71" i="3"/>
  <c r="AS71" i="3"/>
  <c r="AA71" i="3"/>
  <c r="AR71" i="3"/>
  <c r="AP70" i="3"/>
  <c r="BG70" i="3"/>
  <c r="AO70" i="3"/>
  <c r="BF70" i="3"/>
  <c r="AN70" i="3"/>
  <c r="BE70" i="3"/>
  <c r="AM70" i="3"/>
  <c r="BD70" i="3"/>
  <c r="AL70" i="3"/>
  <c r="BC70" i="3"/>
  <c r="AK70" i="3"/>
  <c r="BB70" i="3"/>
  <c r="AJ70" i="3"/>
  <c r="BA70" i="3"/>
  <c r="AI70" i="3"/>
  <c r="AZ70" i="3"/>
  <c r="AH70" i="3"/>
  <c r="AY70" i="3"/>
  <c r="AG70" i="3"/>
  <c r="AX70" i="3"/>
  <c r="AF70" i="3"/>
  <c r="AW70" i="3"/>
  <c r="AE70" i="3"/>
  <c r="AV70" i="3"/>
  <c r="AD70" i="3"/>
  <c r="AU70" i="3"/>
  <c r="AC70" i="3"/>
  <c r="AT70" i="3"/>
  <c r="AB70" i="3"/>
  <c r="AS70" i="3"/>
  <c r="AA70" i="3"/>
  <c r="AR70" i="3"/>
  <c r="AP69" i="3"/>
  <c r="BG69" i="3"/>
  <c r="AO69" i="3"/>
  <c r="BF69" i="3"/>
  <c r="AN69" i="3"/>
  <c r="BE69" i="3"/>
  <c r="AM69" i="3"/>
  <c r="BD69" i="3"/>
  <c r="AL69" i="3"/>
  <c r="BC69" i="3"/>
  <c r="AK69" i="3"/>
  <c r="BB69" i="3"/>
  <c r="AJ69" i="3"/>
  <c r="BA69" i="3"/>
  <c r="AI69" i="3"/>
  <c r="AZ69" i="3"/>
  <c r="AH69" i="3"/>
  <c r="AY69" i="3"/>
  <c r="AG69" i="3"/>
  <c r="AX69" i="3"/>
  <c r="AF69" i="3"/>
  <c r="AW69" i="3"/>
  <c r="AE69" i="3"/>
  <c r="AV69" i="3"/>
  <c r="AD69" i="3"/>
  <c r="AU69" i="3"/>
  <c r="AC69" i="3"/>
  <c r="AT69" i="3"/>
  <c r="AB69" i="3"/>
  <c r="AS69" i="3"/>
  <c r="AA69" i="3"/>
  <c r="AR69" i="3"/>
  <c r="AP68" i="3"/>
  <c r="BG68" i="3"/>
  <c r="AO68" i="3"/>
  <c r="BF68" i="3"/>
  <c r="AN68" i="3"/>
  <c r="BE68" i="3"/>
  <c r="AM68" i="3"/>
  <c r="BD68" i="3"/>
  <c r="AL68" i="3"/>
  <c r="BC68" i="3"/>
  <c r="AK68" i="3"/>
  <c r="BB68" i="3"/>
  <c r="AJ68" i="3"/>
  <c r="BA68" i="3"/>
  <c r="AI68" i="3"/>
  <c r="AZ68" i="3"/>
  <c r="AH68" i="3"/>
  <c r="AY68" i="3"/>
  <c r="AG68" i="3"/>
  <c r="AX68" i="3"/>
  <c r="AF68" i="3"/>
  <c r="AW68" i="3"/>
  <c r="AE68" i="3"/>
  <c r="AV68" i="3"/>
  <c r="AD68" i="3"/>
  <c r="AU68" i="3"/>
  <c r="AC68" i="3"/>
  <c r="AT68" i="3"/>
  <c r="AB68" i="3"/>
  <c r="AS68" i="3"/>
  <c r="AA68" i="3"/>
  <c r="AR68" i="3"/>
  <c r="AP67" i="3"/>
  <c r="BG67" i="3"/>
  <c r="AO67" i="3"/>
  <c r="BF67" i="3"/>
  <c r="AN67" i="3"/>
  <c r="BE67" i="3"/>
  <c r="AM67" i="3"/>
  <c r="BD67" i="3"/>
  <c r="AL67" i="3"/>
  <c r="BC67" i="3"/>
  <c r="AK67" i="3"/>
  <c r="BB67" i="3"/>
  <c r="AJ67" i="3"/>
  <c r="BA67" i="3"/>
  <c r="AI67" i="3"/>
  <c r="AZ67" i="3"/>
  <c r="AH67" i="3"/>
  <c r="AY67" i="3"/>
  <c r="AG67" i="3"/>
  <c r="AX67" i="3"/>
  <c r="AF67" i="3"/>
  <c r="AW67" i="3"/>
  <c r="AE67" i="3"/>
  <c r="AV67" i="3"/>
  <c r="AD67" i="3"/>
  <c r="AU67" i="3"/>
  <c r="AC67" i="3"/>
  <c r="AT67" i="3"/>
  <c r="AB67" i="3"/>
  <c r="AS67" i="3"/>
  <c r="AA67" i="3"/>
  <c r="AR67" i="3"/>
  <c r="AP66" i="3"/>
  <c r="BG66" i="3"/>
  <c r="AO66" i="3"/>
  <c r="BF66" i="3"/>
  <c r="AN66" i="3"/>
  <c r="BE66" i="3"/>
  <c r="AM66" i="3"/>
  <c r="BD66" i="3"/>
  <c r="AL66" i="3"/>
  <c r="BC66" i="3"/>
  <c r="AK66" i="3"/>
  <c r="BB66" i="3"/>
  <c r="AJ66" i="3"/>
  <c r="BA66" i="3"/>
  <c r="AI66" i="3"/>
  <c r="AZ66" i="3"/>
  <c r="AH66" i="3"/>
  <c r="AY66" i="3"/>
  <c r="AG66" i="3"/>
  <c r="AX66" i="3"/>
  <c r="AF66" i="3"/>
  <c r="AW66" i="3"/>
  <c r="AE66" i="3"/>
  <c r="AV66" i="3"/>
  <c r="AD66" i="3"/>
  <c r="AU66" i="3"/>
  <c r="AC66" i="3"/>
  <c r="AT66" i="3"/>
  <c r="AB66" i="3"/>
  <c r="AS66" i="3"/>
  <c r="AP65" i="3"/>
  <c r="BG65" i="3"/>
  <c r="AO65" i="3"/>
  <c r="BF65" i="3"/>
  <c r="AN65" i="3"/>
  <c r="BE65" i="3"/>
  <c r="AM65" i="3"/>
  <c r="BD65" i="3"/>
  <c r="AL65" i="3"/>
  <c r="BC65" i="3"/>
  <c r="AK65" i="3"/>
  <c r="BB65" i="3"/>
  <c r="AJ65" i="3"/>
  <c r="BA65" i="3"/>
  <c r="AI65" i="3"/>
  <c r="AZ65" i="3"/>
  <c r="AH65" i="3"/>
  <c r="AY65" i="3"/>
  <c r="AG65" i="3"/>
  <c r="AX65" i="3"/>
  <c r="AF65" i="3"/>
  <c r="AW65" i="3"/>
  <c r="AE65" i="3"/>
  <c r="AV65" i="3"/>
  <c r="AD65" i="3"/>
  <c r="AU65" i="3"/>
  <c r="AC65" i="3"/>
  <c r="AT65" i="3"/>
  <c r="AB65" i="3"/>
  <c r="AS65" i="3"/>
  <c r="AA65" i="3"/>
  <c r="AR65" i="3"/>
  <c r="AP64" i="3"/>
  <c r="BG64" i="3"/>
  <c r="AO64" i="3"/>
  <c r="BF64" i="3"/>
  <c r="AN64" i="3"/>
  <c r="BE64" i="3"/>
  <c r="AM64" i="3"/>
  <c r="BD64" i="3"/>
  <c r="AL64" i="3"/>
  <c r="BC64" i="3"/>
  <c r="AK64" i="3"/>
  <c r="BB64" i="3"/>
  <c r="AJ64" i="3"/>
  <c r="BA64" i="3"/>
  <c r="AI64" i="3"/>
  <c r="AZ64" i="3"/>
  <c r="AH64" i="3"/>
  <c r="AY64" i="3"/>
  <c r="AG64" i="3"/>
  <c r="AX64" i="3"/>
  <c r="AF64" i="3"/>
  <c r="AW64" i="3"/>
  <c r="AE64" i="3"/>
  <c r="AV64" i="3"/>
  <c r="AD64" i="3"/>
  <c r="AU64" i="3"/>
  <c r="AC64" i="3"/>
  <c r="AT64" i="3"/>
  <c r="AB64" i="3"/>
  <c r="AS64" i="3"/>
  <c r="AA64" i="3"/>
  <c r="AR64" i="3"/>
  <c r="AP63" i="3"/>
  <c r="BG63" i="3"/>
  <c r="AO63" i="3"/>
  <c r="BF63" i="3"/>
  <c r="AN63" i="3"/>
  <c r="BE63" i="3"/>
  <c r="AM63" i="3"/>
  <c r="BD63" i="3"/>
  <c r="AL63" i="3"/>
  <c r="BC63" i="3"/>
  <c r="AK63" i="3"/>
  <c r="BB63" i="3"/>
  <c r="AJ63" i="3"/>
  <c r="BA63" i="3"/>
  <c r="AI63" i="3"/>
  <c r="AZ63" i="3"/>
  <c r="AH63" i="3"/>
  <c r="AY63" i="3"/>
  <c r="AG63" i="3"/>
  <c r="AX63" i="3"/>
  <c r="AF63" i="3"/>
  <c r="AW63" i="3"/>
  <c r="AE63" i="3"/>
  <c r="AV63" i="3"/>
  <c r="AD63" i="3"/>
  <c r="AU63" i="3"/>
  <c r="AC63" i="3"/>
  <c r="AT63" i="3"/>
  <c r="AB63" i="3"/>
  <c r="AS63" i="3"/>
  <c r="AA63" i="3"/>
  <c r="AR63" i="3"/>
  <c r="AP62" i="3"/>
  <c r="BG62" i="3"/>
  <c r="AO62" i="3"/>
  <c r="BF62" i="3"/>
  <c r="AN62" i="3"/>
  <c r="BE62" i="3"/>
  <c r="AM62" i="3"/>
  <c r="BD62" i="3"/>
  <c r="AL62" i="3"/>
  <c r="BC62" i="3"/>
  <c r="AK62" i="3"/>
  <c r="BB62" i="3"/>
  <c r="AJ62" i="3"/>
  <c r="BA62" i="3"/>
  <c r="AI62" i="3"/>
  <c r="AZ62" i="3"/>
  <c r="AH62" i="3"/>
  <c r="AY62" i="3"/>
  <c r="AG62" i="3"/>
  <c r="AX62" i="3"/>
  <c r="AF62" i="3"/>
  <c r="AW62" i="3"/>
  <c r="AE62" i="3"/>
  <c r="AV62" i="3"/>
  <c r="AD62" i="3"/>
  <c r="AU62" i="3"/>
  <c r="AC62" i="3"/>
  <c r="AT62" i="3"/>
  <c r="AB62" i="3"/>
  <c r="AS62" i="3"/>
  <c r="AA62" i="3"/>
  <c r="AR62" i="3"/>
  <c r="AP61" i="3"/>
  <c r="BG61" i="3"/>
  <c r="AO61" i="3"/>
  <c r="BF61" i="3"/>
  <c r="AN61" i="3"/>
  <c r="BE61" i="3"/>
  <c r="AM61" i="3"/>
  <c r="BD61" i="3"/>
  <c r="AL61" i="3"/>
  <c r="BC61" i="3"/>
  <c r="AK61" i="3"/>
  <c r="BB61" i="3"/>
  <c r="AJ61" i="3"/>
  <c r="BA61" i="3"/>
  <c r="AI61" i="3"/>
  <c r="AZ61" i="3"/>
  <c r="AH61" i="3"/>
  <c r="AY61" i="3"/>
  <c r="AG61" i="3"/>
  <c r="AX61" i="3"/>
  <c r="AF61" i="3"/>
  <c r="AW61" i="3"/>
  <c r="AE61" i="3"/>
  <c r="AV61" i="3"/>
  <c r="AD61" i="3"/>
  <c r="AU61" i="3"/>
  <c r="AC61" i="3"/>
  <c r="AT61" i="3"/>
  <c r="AB61" i="3"/>
  <c r="AS61" i="3"/>
  <c r="AA61" i="3"/>
  <c r="AR61" i="3"/>
  <c r="AP60" i="3"/>
  <c r="BG60" i="3"/>
  <c r="AO60" i="3"/>
  <c r="BF60" i="3"/>
  <c r="AN60" i="3"/>
  <c r="BE60" i="3"/>
  <c r="AM60" i="3"/>
  <c r="BD60" i="3"/>
  <c r="AL60" i="3"/>
  <c r="BC60" i="3"/>
  <c r="AK60" i="3"/>
  <c r="BB60" i="3"/>
  <c r="AJ60" i="3"/>
  <c r="BA60" i="3"/>
  <c r="AI60" i="3"/>
  <c r="AZ60" i="3"/>
  <c r="AH60" i="3"/>
  <c r="AY60" i="3"/>
  <c r="AG60" i="3"/>
  <c r="AX60" i="3"/>
  <c r="AF60" i="3"/>
  <c r="AW60" i="3"/>
  <c r="AE60" i="3"/>
  <c r="AV60" i="3"/>
  <c r="AD60" i="3"/>
  <c r="AU60" i="3"/>
  <c r="AC60" i="3"/>
  <c r="AT60" i="3"/>
  <c r="AB60" i="3"/>
  <c r="AS60" i="3"/>
  <c r="AA60" i="3"/>
  <c r="AR60" i="3"/>
  <c r="AP59" i="3"/>
  <c r="BG59" i="3"/>
  <c r="AO59" i="3"/>
  <c r="BF59" i="3"/>
  <c r="AN59" i="3"/>
  <c r="BE59" i="3"/>
  <c r="AM59" i="3"/>
  <c r="BD59" i="3"/>
  <c r="AL59" i="3"/>
  <c r="BC59" i="3"/>
  <c r="AK59" i="3"/>
  <c r="BB59" i="3"/>
  <c r="AJ59" i="3"/>
  <c r="BA59" i="3"/>
  <c r="AI59" i="3"/>
  <c r="AZ59" i="3"/>
  <c r="AH59" i="3"/>
  <c r="AY59" i="3"/>
  <c r="AG59" i="3"/>
  <c r="AX59" i="3"/>
  <c r="AF59" i="3"/>
  <c r="AW59" i="3"/>
  <c r="AE59" i="3"/>
  <c r="AV59" i="3"/>
  <c r="AD59" i="3"/>
  <c r="AU59" i="3"/>
  <c r="AC59" i="3"/>
  <c r="AT59" i="3"/>
  <c r="AB59" i="3"/>
  <c r="AS59" i="3"/>
  <c r="AA59" i="3"/>
  <c r="AR59" i="3"/>
  <c r="AP58" i="3"/>
  <c r="BG58" i="3"/>
  <c r="AO58" i="3"/>
  <c r="BF58" i="3"/>
  <c r="AN58" i="3"/>
  <c r="BE58" i="3"/>
  <c r="AM58" i="3"/>
  <c r="BD58" i="3"/>
  <c r="AL58" i="3"/>
  <c r="BC58" i="3"/>
  <c r="AK58" i="3"/>
  <c r="BB58" i="3"/>
  <c r="AJ58" i="3"/>
  <c r="BA58" i="3"/>
  <c r="AI58" i="3"/>
  <c r="AZ58" i="3"/>
  <c r="AH58" i="3"/>
  <c r="AY58" i="3"/>
  <c r="AG58" i="3"/>
  <c r="AX58" i="3"/>
  <c r="AF58" i="3"/>
  <c r="AW58" i="3"/>
  <c r="AE58" i="3"/>
  <c r="AV58" i="3"/>
  <c r="AD58" i="3"/>
  <c r="AU58" i="3"/>
  <c r="AC58" i="3"/>
  <c r="AT58" i="3"/>
  <c r="AB58" i="3"/>
  <c r="AS58" i="3"/>
  <c r="AA58" i="3"/>
  <c r="AR58" i="3"/>
  <c r="AP57" i="3"/>
  <c r="BG57" i="3"/>
  <c r="AO57" i="3"/>
  <c r="BF57" i="3"/>
  <c r="AN57" i="3"/>
  <c r="BE57" i="3"/>
  <c r="AM57" i="3"/>
  <c r="BD57" i="3"/>
  <c r="AL57" i="3"/>
  <c r="BC57" i="3"/>
  <c r="AK57" i="3"/>
  <c r="BB57" i="3"/>
  <c r="AJ57" i="3"/>
  <c r="BA57" i="3"/>
  <c r="AI57" i="3"/>
  <c r="AZ57" i="3"/>
  <c r="AH57" i="3"/>
  <c r="AY57" i="3"/>
  <c r="AG57" i="3"/>
  <c r="AX57" i="3"/>
  <c r="AF57" i="3"/>
  <c r="AW57" i="3"/>
  <c r="AE57" i="3"/>
  <c r="AV57" i="3"/>
  <c r="AD57" i="3"/>
  <c r="AU57" i="3"/>
  <c r="AC57" i="3"/>
  <c r="AT57" i="3"/>
  <c r="AB57" i="3"/>
  <c r="AS57" i="3"/>
  <c r="AA57" i="3"/>
  <c r="AR57" i="3"/>
  <c r="AP56" i="3"/>
  <c r="BG56" i="3"/>
  <c r="AO56" i="3"/>
  <c r="BF56" i="3"/>
  <c r="AN56" i="3"/>
  <c r="BE56" i="3"/>
  <c r="AM56" i="3"/>
  <c r="BD56" i="3"/>
  <c r="AL56" i="3"/>
  <c r="BC56" i="3"/>
  <c r="AK56" i="3"/>
  <c r="BB56" i="3"/>
  <c r="AJ56" i="3"/>
  <c r="BA56" i="3"/>
  <c r="AI56" i="3"/>
  <c r="AZ56" i="3"/>
  <c r="AH56" i="3"/>
  <c r="AY56" i="3"/>
  <c r="AG56" i="3"/>
  <c r="AX56" i="3"/>
  <c r="AF56" i="3"/>
  <c r="AW56" i="3"/>
  <c r="AE56" i="3"/>
  <c r="AV56" i="3"/>
  <c r="AD56" i="3"/>
  <c r="AU56" i="3"/>
  <c r="AC56" i="3"/>
  <c r="AT56" i="3"/>
  <c r="AB56" i="3"/>
  <c r="AS56" i="3"/>
  <c r="AA56" i="3"/>
  <c r="AR56" i="3"/>
  <c r="AP55" i="3"/>
  <c r="BG55" i="3"/>
  <c r="AO55" i="3"/>
  <c r="BF55" i="3"/>
  <c r="AN55" i="3"/>
  <c r="BE55" i="3"/>
  <c r="AM55" i="3"/>
  <c r="BD55" i="3"/>
  <c r="AL55" i="3"/>
  <c r="BC55" i="3"/>
  <c r="AK55" i="3"/>
  <c r="BB55" i="3"/>
  <c r="AJ55" i="3"/>
  <c r="BA55" i="3"/>
  <c r="AI55" i="3"/>
  <c r="AZ55" i="3"/>
  <c r="AH55" i="3"/>
  <c r="AY55" i="3"/>
  <c r="AG55" i="3"/>
  <c r="AX55" i="3"/>
  <c r="AF55" i="3"/>
  <c r="AW55" i="3"/>
  <c r="AE55" i="3"/>
  <c r="AV55" i="3"/>
  <c r="AD55" i="3"/>
  <c r="AU55" i="3"/>
  <c r="AC55" i="3"/>
  <c r="AT55" i="3"/>
  <c r="AB55" i="3"/>
  <c r="AS55" i="3"/>
  <c r="AA55" i="3"/>
  <c r="AR55" i="3"/>
  <c r="AP54" i="3"/>
  <c r="BG54" i="3"/>
  <c r="AO54" i="3"/>
  <c r="BF54" i="3"/>
  <c r="AN54" i="3"/>
  <c r="BE54" i="3"/>
  <c r="AM54" i="3"/>
  <c r="BD54" i="3"/>
  <c r="AL54" i="3"/>
  <c r="BC54" i="3"/>
  <c r="AK54" i="3"/>
  <c r="BB54" i="3"/>
  <c r="AJ54" i="3"/>
  <c r="BA54" i="3"/>
  <c r="AI54" i="3"/>
  <c r="AZ54" i="3"/>
  <c r="AH54" i="3"/>
  <c r="AY54" i="3"/>
  <c r="AG54" i="3"/>
  <c r="AX54" i="3"/>
  <c r="AF54" i="3"/>
  <c r="AW54" i="3"/>
  <c r="AE54" i="3"/>
  <c r="AV54" i="3"/>
  <c r="AD54" i="3"/>
  <c r="AU54" i="3"/>
  <c r="AC54" i="3"/>
  <c r="AT54" i="3"/>
  <c r="AB54" i="3"/>
  <c r="AS54" i="3"/>
  <c r="AA54" i="3"/>
  <c r="AR54" i="3"/>
  <c r="AP53" i="3"/>
  <c r="BG53" i="3"/>
  <c r="AO53" i="3"/>
  <c r="BF53" i="3"/>
  <c r="AN53" i="3"/>
  <c r="BE53" i="3"/>
  <c r="AM53" i="3"/>
  <c r="BD53" i="3"/>
  <c r="AL53" i="3"/>
  <c r="BC53" i="3"/>
  <c r="AK53" i="3"/>
  <c r="BB53" i="3"/>
  <c r="AJ53" i="3"/>
  <c r="BA53" i="3"/>
  <c r="AI53" i="3"/>
  <c r="AZ53" i="3"/>
  <c r="AH53" i="3"/>
  <c r="AY53" i="3"/>
  <c r="AG53" i="3"/>
  <c r="AX53" i="3"/>
  <c r="AF53" i="3"/>
  <c r="AW53" i="3"/>
  <c r="AE53" i="3"/>
  <c r="AV53" i="3"/>
  <c r="AD53" i="3"/>
  <c r="AU53" i="3"/>
  <c r="AC53" i="3"/>
  <c r="AT53" i="3"/>
  <c r="AB53" i="3"/>
  <c r="AS53" i="3"/>
  <c r="AA53" i="3"/>
  <c r="AR53" i="3"/>
  <c r="AP52" i="3"/>
  <c r="BG52" i="3"/>
  <c r="AO52" i="3"/>
  <c r="BF52" i="3"/>
  <c r="AN52" i="3"/>
  <c r="BE52" i="3"/>
  <c r="AM52" i="3"/>
  <c r="BD52" i="3"/>
  <c r="AL52" i="3"/>
  <c r="BC52" i="3"/>
  <c r="AK52" i="3"/>
  <c r="BB52" i="3"/>
  <c r="AJ52" i="3"/>
  <c r="BA52" i="3"/>
  <c r="AI52" i="3"/>
  <c r="AZ52" i="3"/>
  <c r="AH52" i="3"/>
  <c r="AY52" i="3"/>
  <c r="AG52" i="3"/>
  <c r="AX52" i="3"/>
  <c r="AF52" i="3"/>
  <c r="AW52" i="3"/>
  <c r="AE52" i="3"/>
  <c r="AV52" i="3"/>
  <c r="AD52" i="3"/>
  <c r="AU52" i="3"/>
  <c r="AC52" i="3"/>
  <c r="AT52" i="3"/>
  <c r="AB52" i="3"/>
  <c r="AS52" i="3"/>
  <c r="AA52" i="3"/>
  <c r="AR52" i="3"/>
  <c r="AP51" i="3"/>
  <c r="BG51" i="3"/>
  <c r="AO51" i="3"/>
  <c r="BF51" i="3"/>
  <c r="AN51" i="3"/>
  <c r="BE51" i="3"/>
  <c r="AM51" i="3"/>
  <c r="BD51" i="3"/>
  <c r="AL51" i="3"/>
  <c r="BC51" i="3"/>
  <c r="AK51" i="3"/>
  <c r="BB51" i="3"/>
  <c r="AJ51" i="3"/>
  <c r="BA51" i="3"/>
  <c r="AI51" i="3"/>
  <c r="AZ51" i="3"/>
  <c r="AH51" i="3"/>
  <c r="AY51" i="3"/>
  <c r="AG51" i="3"/>
  <c r="AX51" i="3"/>
  <c r="AF51" i="3"/>
  <c r="AW51" i="3"/>
  <c r="AE51" i="3"/>
  <c r="AV51" i="3"/>
  <c r="AD51" i="3"/>
  <c r="AU51" i="3"/>
  <c r="AC51" i="3"/>
  <c r="AT51" i="3"/>
  <c r="AB51" i="3"/>
  <c r="AS51" i="3"/>
  <c r="AA51" i="3"/>
  <c r="AR51" i="3"/>
  <c r="AP50" i="3"/>
  <c r="BG50" i="3"/>
  <c r="AO50" i="3"/>
  <c r="BF50" i="3"/>
  <c r="AN50" i="3"/>
  <c r="BE50" i="3"/>
  <c r="AM50" i="3"/>
  <c r="BD50" i="3"/>
  <c r="AL50" i="3"/>
  <c r="BC50" i="3"/>
  <c r="AK50" i="3"/>
  <c r="BB50" i="3"/>
  <c r="AJ50" i="3"/>
  <c r="BA50" i="3"/>
  <c r="AI50" i="3"/>
  <c r="AZ50" i="3"/>
  <c r="AH50" i="3"/>
  <c r="AY50" i="3"/>
  <c r="AG50" i="3"/>
  <c r="AX50" i="3"/>
  <c r="AF50" i="3"/>
  <c r="AW50" i="3"/>
  <c r="AE50" i="3"/>
  <c r="AV50" i="3"/>
  <c r="AD50" i="3"/>
  <c r="AU50" i="3"/>
  <c r="AC50" i="3"/>
  <c r="AT50" i="3"/>
  <c r="AB50" i="3"/>
  <c r="AS50" i="3"/>
  <c r="AA50" i="3"/>
  <c r="AR50" i="3"/>
  <c r="AP49" i="3"/>
  <c r="BG49" i="3"/>
  <c r="AO49" i="3"/>
  <c r="BF49" i="3"/>
  <c r="AN49" i="3"/>
  <c r="BE49" i="3"/>
  <c r="AM49" i="3"/>
  <c r="BD49" i="3"/>
  <c r="AL49" i="3"/>
  <c r="BC49" i="3"/>
  <c r="AK49" i="3"/>
  <c r="BB49" i="3"/>
  <c r="AJ49" i="3"/>
  <c r="BA49" i="3"/>
  <c r="AI49" i="3"/>
  <c r="AZ49" i="3"/>
  <c r="AH49" i="3"/>
  <c r="AY49" i="3"/>
  <c r="AG49" i="3"/>
  <c r="AX49" i="3"/>
  <c r="AF49" i="3"/>
  <c r="AW49" i="3"/>
  <c r="AE49" i="3"/>
  <c r="AV49" i="3"/>
  <c r="AD49" i="3"/>
  <c r="AU49" i="3"/>
  <c r="AC49" i="3"/>
  <c r="AT49" i="3"/>
  <c r="AB49" i="3"/>
  <c r="AS49" i="3"/>
  <c r="AA49" i="3"/>
  <c r="AR49" i="3"/>
  <c r="AP48" i="3"/>
  <c r="BG48" i="3"/>
  <c r="AO48" i="3"/>
  <c r="BF48" i="3"/>
  <c r="AN48" i="3"/>
  <c r="BE48" i="3"/>
  <c r="AM48" i="3"/>
  <c r="BD48" i="3"/>
  <c r="AL48" i="3"/>
  <c r="BC48" i="3"/>
  <c r="AK48" i="3"/>
  <c r="BB48" i="3"/>
  <c r="AJ48" i="3"/>
  <c r="BA48" i="3"/>
  <c r="AI48" i="3"/>
  <c r="AZ48" i="3"/>
  <c r="AH48" i="3"/>
  <c r="AY48" i="3"/>
  <c r="AG48" i="3"/>
  <c r="AX48" i="3"/>
  <c r="AF48" i="3"/>
  <c r="AW48" i="3"/>
  <c r="AE48" i="3"/>
  <c r="AV48" i="3"/>
  <c r="AD48" i="3"/>
  <c r="AU48" i="3"/>
  <c r="AC48" i="3"/>
  <c r="AT48" i="3"/>
  <c r="AB48" i="3"/>
  <c r="AS48" i="3"/>
  <c r="AA48" i="3"/>
  <c r="AR48" i="3"/>
  <c r="AP47" i="3"/>
  <c r="BG47" i="3"/>
  <c r="AO47" i="3"/>
  <c r="BF47" i="3"/>
  <c r="AN47" i="3"/>
  <c r="BE47" i="3"/>
  <c r="AM47" i="3"/>
  <c r="BD47" i="3"/>
  <c r="AL47" i="3"/>
  <c r="BC47" i="3"/>
  <c r="AK47" i="3"/>
  <c r="BB47" i="3"/>
  <c r="AJ47" i="3"/>
  <c r="BA47" i="3"/>
  <c r="AI47" i="3"/>
  <c r="AZ47" i="3"/>
  <c r="AH47" i="3"/>
  <c r="AY47" i="3"/>
  <c r="AG47" i="3"/>
  <c r="AX47" i="3"/>
  <c r="AF47" i="3"/>
  <c r="AW47" i="3"/>
  <c r="AE47" i="3"/>
  <c r="AV47" i="3"/>
  <c r="AD47" i="3"/>
  <c r="AU47" i="3"/>
  <c r="AC47" i="3"/>
  <c r="AT47" i="3"/>
  <c r="AB47" i="3"/>
  <c r="AS47" i="3"/>
  <c r="AA47" i="3"/>
  <c r="AR47" i="3"/>
  <c r="AP46" i="3"/>
  <c r="BG46" i="3"/>
  <c r="AO46" i="3"/>
  <c r="BF46" i="3"/>
  <c r="AN46" i="3"/>
  <c r="BE46" i="3"/>
  <c r="AM46" i="3"/>
  <c r="BD46" i="3"/>
  <c r="AL46" i="3"/>
  <c r="BC46" i="3"/>
  <c r="AK46" i="3"/>
  <c r="BB46" i="3"/>
  <c r="AJ46" i="3"/>
  <c r="BA46" i="3"/>
  <c r="AI46" i="3"/>
  <c r="AZ46" i="3"/>
  <c r="AH46" i="3"/>
  <c r="AY46" i="3"/>
  <c r="AG46" i="3"/>
  <c r="AX46" i="3"/>
  <c r="AF46" i="3"/>
  <c r="AW46" i="3"/>
  <c r="AE46" i="3"/>
  <c r="AV46" i="3"/>
  <c r="AD46" i="3"/>
  <c r="AU46" i="3"/>
  <c r="AC46" i="3"/>
  <c r="AT46" i="3"/>
  <c r="AB46" i="3"/>
  <c r="AS46" i="3"/>
  <c r="AA46" i="3"/>
  <c r="AR46" i="3"/>
  <c r="AP45" i="3"/>
  <c r="BG45" i="3"/>
  <c r="AO45" i="3"/>
  <c r="BF45" i="3"/>
  <c r="AN45" i="3"/>
  <c r="BE45" i="3"/>
  <c r="AM45" i="3"/>
  <c r="BD45" i="3"/>
  <c r="AL45" i="3"/>
  <c r="BC45" i="3"/>
  <c r="AK45" i="3"/>
  <c r="BB45" i="3"/>
  <c r="AJ45" i="3"/>
  <c r="BA45" i="3"/>
  <c r="AI45" i="3"/>
  <c r="AZ45" i="3"/>
  <c r="AH45" i="3"/>
  <c r="AY45" i="3"/>
  <c r="AG45" i="3"/>
  <c r="AX45" i="3"/>
  <c r="AF45" i="3"/>
  <c r="AW45" i="3"/>
  <c r="AE45" i="3"/>
  <c r="AV45" i="3"/>
  <c r="AD45" i="3"/>
  <c r="AU45" i="3"/>
  <c r="AC45" i="3"/>
  <c r="AT45" i="3"/>
  <c r="AB45" i="3"/>
  <c r="AS45" i="3"/>
  <c r="AA45" i="3"/>
  <c r="AR45" i="3"/>
  <c r="AP44" i="3"/>
  <c r="BG44" i="3"/>
  <c r="AO44" i="3"/>
  <c r="BF44" i="3"/>
  <c r="AN44" i="3"/>
  <c r="BE44" i="3"/>
  <c r="AM44" i="3"/>
  <c r="BD44" i="3"/>
  <c r="AL44" i="3"/>
  <c r="BC44" i="3"/>
  <c r="AK44" i="3"/>
  <c r="BB44" i="3"/>
  <c r="AJ44" i="3"/>
  <c r="BA44" i="3"/>
  <c r="AI44" i="3"/>
  <c r="AZ44" i="3"/>
  <c r="AH44" i="3"/>
  <c r="AY44" i="3"/>
  <c r="AG44" i="3"/>
  <c r="AX44" i="3"/>
  <c r="AF44" i="3"/>
  <c r="AW44" i="3"/>
  <c r="AE44" i="3"/>
  <c r="AV44" i="3"/>
  <c r="AD44" i="3"/>
  <c r="AU44" i="3"/>
  <c r="AC44" i="3"/>
  <c r="AT44" i="3"/>
  <c r="AB44" i="3"/>
  <c r="AS44" i="3"/>
  <c r="AA44" i="3"/>
  <c r="AR44" i="3"/>
  <c r="AP43" i="3"/>
  <c r="BG43" i="3"/>
  <c r="AO43" i="3"/>
  <c r="BF43" i="3"/>
  <c r="AN43" i="3"/>
  <c r="BE43" i="3"/>
  <c r="AM43" i="3"/>
  <c r="BD43" i="3"/>
  <c r="AL43" i="3"/>
  <c r="BC43" i="3"/>
  <c r="AK43" i="3"/>
  <c r="BB43" i="3"/>
  <c r="AJ43" i="3"/>
  <c r="BA43" i="3"/>
  <c r="AI43" i="3"/>
  <c r="AZ43" i="3"/>
  <c r="AH43" i="3"/>
  <c r="AY43" i="3"/>
  <c r="AG43" i="3"/>
  <c r="AX43" i="3"/>
  <c r="AF43" i="3"/>
  <c r="AW43" i="3"/>
  <c r="AE43" i="3"/>
  <c r="AV43" i="3"/>
  <c r="AD43" i="3"/>
  <c r="AU43" i="3"/>
  <c r="AC43" i="3"/>
  <c r="AT43" i="3"/>
  <c r="AB43" i="3"/>
  <c r="AS43" i="3"/>
  <c r="AA43" i="3"/>
  <c r="AR43" i="3"/>
  <c r="AP42" i="3"/>
  <c r="BG42" i="3"/>
  <c r="AO42" i="3"/>
  <c r="BF42" i="3"/>
  <c r="AN42" i="3"/>
  <c r="BE42" i="3"/>
  <c r="AM42" i="3"/>
  <c r="BD42" i="3"/>
  <c r="AL42" i="3"/>
  <c r="BC42" i="3"/>
  <c r="AK42" i="3"/>
  <c r="BB42" i="3"/>
  <c r="AJ42" i="3"/>
  <c r="BA42" i="3"/>
  <c r="AI42" i="3"/>
  <c r="AZ42" i="3"/>
  <c r="AH42" i="3"/>
  <c r="AY42" i="3"/>
  <c r="AG42" i="3"/>
  <c r="AX42" i="3"/>
  <c r="AF42" i="3"/>
  <c r="AW42" i="3"/>
  <c r="AE42" i="3"/>
  <c r="AV42" i="3"/>
  <c r="AD42" i="3"/>
  <c r="AU42" i="3"/>
  <c r="AC42" i="3"/>
  <c r="AT42" i="3"/>
  <c r="AB42" i="3"/>
  <c r="AS42" i="3"/>
  <c r="AA42" i="3"/>
  <c r="AR42" i="3"/>
  <c r="AP41" i="3"/>
  <c r="BG41" i="3"/>
  <c r="AO41" i="3"/>
  <c r="BF41" i="3"/>
  <c r="AN41" i="3"/>
  <c r="BE41" i="3"/>
  <c r="AM41" i="3"/>
  <c r="BD41" i="3"/>
  <c r="AL41" i="3"/>
  <c r="BC41" i="3"/>
  <c r="AK41" i="3"/>
  <c r="BB41" i="3"/>
  <c r="AJ41" i="3"/>
  <c r="BA41" i="3"/>
  <c r="AI41" i="3"/>
  <c r="AZ41" i="3"/>
  <c r="AH41" i="3"/>
  <c r="AY41" i="3"/>
  <c r="AG41" i="3"/>
  <c r="AX41" i="3"/>
  <c r="AF41" i="3"/>
  <c r="AW41" i="3"/>
  <c r="AE41" i="3"/>
  <c r="AV41" i="3"/>
  <c r="AD41" i="3"/>
  <c r="AU41" i="3"/>
  <c r="AC41" i="3"/>
  <c r="AT41" i="3"/>
  <c r="AB41" i="3"/>
  <c r="AS41" i="3"/>
  <c r="AA41" i="3"/>
  <c r="AR41" i="3"/>
  <c r="AP40" i="3"/>
  <c r="BG40" i="3"/>
  <c r="AO40" i="3"/>
  <c r="BF40" i="3"/>
  <c r="AN40" i="3"/>
  <c r="BE40" i="3"/>
  <c r="AM40" i="3"/>
  <c r="BD40" i="3"/>
  <c r="AL40" i="3"/>
  <c r="BC40" i="3"/>
  <c r="AK40" i="3"/>
  <c r="BB40" i="3"/>
  <c r="AJ40" i="3"/>
  <c r="BA40" i="3"/>
  <c r="AI40" i="3"/>
  <c r="AZ40" i="3"/>
  <c r="AH40" i="3"/>
  <c r="AY40" i="3"/>
  <c r="AG40" i="3"/>
  <c r="AX40" i="3"/>
  <c r="AF40" i="3"/>
  <c r="AW40" i="3"/>
  <c r="AE40" i="3"/>
  <c r="AV40" i="3"/>
  <c r="AD40" i="3"/>
  <c r="AU40" i="3"/>
  <c r="AC40" i="3"/>
  <c r="AT40" i="3"/>
  <c r="AB40" i="3"/>
  <c r="AS40" i="3"/>
  <c r="AA40" i="3"/>
  <c r="AR40" i="3"/>
  <c r="AP39" i="3"/>
  <c r="BG39" i="3"/>
  <c r="AO39" i="3"/>
  <c r="BF39" i="3"/>
  <c r="AN39" i="3"/>
  <c r="BE39" i="3"/>
  <c r="AM39" i="3"/>
  <c r="BD39" i="3"/>
  <c r="AL39" i="3"/>
  <c r="BC39" i="3"/>
  <c r="AK39" i="3"/>
  <c r="BB39" i="3"/>
  <c r="AJ39" i="3"/>
  <c r="BA39" i="3"/>
  <c r="AI39" i="3"/>
  <c r="AZ39" i="3"/>
  <c r="AH39" i="3"/>
  <c r="AY39" i="3"/>
  <c r="AG39" i="3"/>
  <c r="AX39" i="3"/>
  <c r="AF39" i="3"/>
  <c r="AW39" i="3"/>
  <c r="AE39" i="3"/>
  <c r="AV39" i="3"/>
  <c r="AD39" i="3"/>
  <c r="AU39" i="3"/>
  <c r="AC39" i="3"/>
  <c r="AT39" i="3"/>
  <c r="AB39" i="3"/>
  <c r="AS39" i="3"/>
  <c r="AA39" i="3"/>
  <c r="AR39" i="3"/>
  <c r="AP38" i="3"/>
  <c r="BG38" i="3"/>
  <c r="AO38" i="3"/>
  <c r="BF38" i="3"/>
  <c r="AN38" i="3"/>
  <c r="BE38" i="3"/>
  <c r="AM38" i="3"/>
  <c r="BD38" i="3"/>
  <c r="AL38" i="3"/>
  <c r="BC38" i="3"/>
  <c r="AK38" i="3"/>
  <c r="BB38" i="3"/>
  <c r="AJ38" i="3"/>
  <c r="BA38" i="3"/>
  <c r="AI38" i="3"/>
  <c r="AZ38" i="3"/>
  <c r="AH38" i="3"/>
  <c r="AY38" i="3"/>
  <c r="AG38" i="3"/>
  <c r="AX38" i="3"/>
  <c r="AF38" i="3"/>
  <c r="AW38" i="3"/>
  <c r="AE38" i="3"/>
  <c r="AV38" i="3"/>
  <c r="AD38" i="3"/>
  <c r="AU38" i="3"/>
  <c r="AC38" i="3"/>
  <c r="AT38" i="3"/>
  <c r="AB38" i="3"/>
  <c r="AS38" i="3"/>
  <c r="AA38" i="3"/>
  <c r="AR38" i="3"/>
  <c r="AP37" i="3"/>
  <c r="BG37" i="3"/>
  <c r="AO37" i="3"/>
  <c r="BF37" i="3"/>
  <c r="AN37" i="3"/>
  <c r="BE37" i="3"/>
  <c r="AM37" i="3"/>
  <c r="BD37" i="3"/>
  <c r="AL37" i="3"/>
  <c r="BC37" i="3"/>
  <c r="AK37" i="3"/>
  <c r="BB37" i="3"/>
  <c r="AJ37" i="3"/>
  <c r="BA37" i="3"/>
  <c r="AI37" i="3"/>
  <c r="AZ37" i="3"/>
  <c r="AH37" i="3"/>
  <c r="AY37" i="3"/>
  <c r="AG37" i="3"/>
  <c r="AX37" i="3"/>
  <c r="AF37" i="3"/>
  <c r="AW37" i="3"/>
  <c r="AE37" i="3"/>
  <c r="AV37" i="3"/>
  <c r="AD37" i="3"/>
  <c r="AU37" i="3"/>
  <c r="AC37" i="3"/>
  <c r="AT37" i="3"/>
  <c r="AB37" i="3"/>
  <c r="AS37" i="3"/>
  <c r="AA37" i="3"/>
  <c r="AR37" i="3"/>
  <c r="AP36" i="3"/>
  <c r="BG36" i="3"/>
  <c r="AO36" i="3"/>
  <c r="BF36" i="3"/>
  <c r="AN36" i="3"/>
  <c r="BE36" i="3"/>
  <c r="AM36" i="3"/>
  <c r="BD36" i="3"/>
  <c r="AL36" i="3"/>
  <c r="BC36" i="3"/>
  <c r="AK36" i="3"/>
  <c r="BB36" i="3"/>
  <c r="AJ36" i="3"/>
  <c r="BA36" i="3"/>
  <c r="AI36" i="3"/>
  <c r="AZ36" i="3"/>
  <c r="AH36" i="3"/>
  <c r="AY36" i="3"/>
  <c r="AG36" i="3"/>
  <c r="AX36" i="3"/>
  <c r="AF36" i="3"/>
  <c r="AW36" i="3"/>
  <c r="AE36" i="3"/>
  <c r="AV36" i="3"/>
  <c r="AD36" i="3"/>
  <c r="AU36" i="3"/>
  <c r="AC36" i="3"/>
  <c r="AT36" i="3"/>
  <c r="AB36" i="3"/>
  <c r="AS36" i="3"/>
  <c r="AA36" i="3"/>
  <c r="AR36" i="3"/>
  <c r="AP35" i="3"/>
  <c r="BG35" i="3"/>
  <c r="AO35" i="3"/>
  <c r="BF35" i="3"/>
  <c r="AN35" i="3"/>
  <c r="BE35" i="3"/>
  <c r="AM35" i="3"/>
  <c r="BD35" i="3"/>
  <c r="AL35" i="3"/>
  <c r="BC35" i="3"/>
  <c r="AK35" i="3"/>
  <c r="BB35" i="3"/>
  <c r="AJ35" i="3"/>
  <c r="BA35" i="3"/>
  <c r="AI35" i="3"/>
  <c r="AZ35" i="3"/>
  <c r="AH35" i="3"/>
  <c r="AY35" i="3"/>
  <c r="AG35" i="3"/>
  <c r="AX35" i="3"/>
  <c r="AF35" i="3"/>
  <c r="AW35" i="3"/>
  <c r="AE35" i="3"/>
  <c r="AV35" i="3"/>
  <c r="AD35" i="3"/>
  <c r="AU35" i="3"/>
  <c r="AC35" i="3"/>
  <c r="AT35" i="3"/>
  <c r="AB35" i="3"/>
  <c r="AS35" i="3"/>
  <c r="AA35" i="3"/>
  <c r="AR35" i="3"/>
  <c r="AP34" i="3"/>
  <c r="BG34" i="3"/>
  <c r="AO34" i="3"/>
  <c r="BF34" i="3"/>
  <c r="AN34" i="3"/>
  <c r="BE34" i="3"/>
  <c r="AM34" i="3"/>
  <c r="BD34" i="3"/>
  <c r="AL34" i="3"/>
  <c r="BC34" i="3"/>
  <c r="AK34" i="3"/>
  <c r="BB34" i="3"/>
  <c r="AJ34" i="3"/>
  <c r="BA34" i="3"/>
  <c r="AI34" i="3"/>
  <c r="AZ34" i="3"/>
  <c r="AH34" i="3"/>
  <c r="AY34" i="3"/>
  <c r="AG34" i="3"/>
  <c r="AX34" i="3"/>
  <c r="AF34" i="3"/>
  <c r="AW34" i="3"/>
  <c r="AE34" i="3"/>
  <c r="AV34" i="3"/>
  <c r="AD34" i="3"/>
  <c r="AU34" i="3"/>
  <c r="AC34" i="3"/>
  <c r="AT34" i="3"/>
  <c r="AB34" i="3"/>
  <c r="AS34" i="3"/>
  <c r="AA34" i="3"/>
  <c r="AR34" i="3"/>
  <c r="AP33" i="3"/>
  <c r="BG33" i="3"/>
  <c r="AO33" i="3"/>
  <c r="BF33" i="3"/>
  <c r="AN33" i="3"/>
  <c r="BE33" i="3"/>
  <c r="AM33" i="3"/>
  <c r="BD33" i="3"/>
  <c r="AL33" i="3"/>
  <c r="BC33" i="3"/>
  <c r="AK33" i="3"/>
  <c r="BB33" i="3"/>
  <c r="AJ33" i="3"/>
  <c r="BA33" i="3"/>
  <c r="AI33" i="3"/>
  <c r="AZ33" i="3"/>
  <c r="AH33" i="3"/>
  <c r="AY33" i="3"/>
  <c r="AG33" i="3"/>
  <c r="AX33" i="3"/>
  <c r="AF33" i="3"/>
  <c r="AW33" i="3"/>
  <c r="AE33" i="3"/>
  <c r="AV33" i="3"/>
  <c r="AD33" i="3"/>
  <c r="AU33" i="3"/>
  <c r="AC33" i="3"/>
  <c r="AT33" i="3"/>
  <c r="AB33" i="3"/>
  <c r="AS33" i="3"/>
  <c r="AA33" i="3"/>
  <c r="AR33" i="3"/>
  <c r="AP32" i="3"/>
  <c r="BG32" i="3"/>
  <c r="AO32" i="3"/>
  <c r="BF32" i="3"/>
  <c r="AN32" i="3"/>
  <c r="BE32" i="3"/>
  <c r="AM32" i="3"/>
  <c r="BD32" i="3"/>
  <c r="AL32" i="3"/>
  <c r="BC32" i="3"/>
  <c r="AK32" i="3"/>
  <c r="BB32" i="3"/>
  <c r="AJ32" i="3"/>
  <c r="BA32" i="3"/>
  <c r="AI32" i="3"/>
  <c r="AZ32" i="3"/>
  <c r="AH32" i="3"/>
  <c r="AY32" i="3"/>
  <c r="AG32" i="3"/>
  <c r="AX32" i="3"/>
  <c r="AF32" i="3"/>
  <c r="AW32" i="3"/>
  <c r="AE32" i="3"/>
  <c r="AV32" i="3"/>
  <c r="AD32" i="3"/>
  <c r="AU32" i="3"/>
  <c r="AC32" i="3"/>
  <c r="AT32" i="3"/>
  <c r="AB32" i="3"/>
  <c r="AS32" i="3"/>
  <c r="AA32" i="3"/>
  <c r="AR32" i="3"/>
  <c r="AP31" i="3"/>
  <c r="BG31" i="3"/>
  <c r="AO31" i="3"/>
  <c r="BF31" i="3"/>
  <c r="AN31" i="3"/>
  <c r="BE31" i="3"/>
  <c r="AM31" i="3"/>
  <c r="BD31" i="3"/>
  <c r="AL31" i="3"/>
  <c r="BC31" i="3"/>
  <c r="AK31" i="3"/>
  <c r="BB31" i="3"/>
  <c r="AJ31" i="3"/>
  <c r="BA31" i="3"/>
  <c r="AI31" i="3"/>
  <c r="AZ31" i="3"/>
  <c r="AH31" i="3"/>
  <c r="AY31" i="3"/>
  <c r="AG31" i="3"/>
  <c r="AX31" i="3"/>
  <c r="AF31" i="3"/>
  <c r="AW31" i="3"/>
  <c r="AE31" i="3"/>
  <c r="AV31" i="3"/>
  <c r="AD31" i="3"/>
  <c r="AU31" i="3"/>
  <c r="AC31" i="3"/>
  <c r="AT31" i="3"/>
  <c r="AB31" i="3"/>
  <c r="AS31" i="3"/>
  <c r="AA31" i="3"/>
  <c r="AR31" i="3"/>
  <c r="AP30" i="3"/>
  <c r="BG30" i="3"/>
  <c r="AO30" i="3"/>
  <c r="BF30" i="3"/>
  <c r="AN30" i="3"/>
  <c r="BE30" i="3"/>
  <c r="AM30" i="3"/>
  <c r="BD30" i="3"/>
  <c r="AL30" i="3"/>
  <c r="BC30" i="3"/>
  <c r="AK30" i="3"/>
  <c r="BB30" i="3"/>
  <c r="AJ30" i="3"/>
  <c r="BA30" i="3"/>
  <c r="AI30" i="3"/>
  <c r="AZ30" i="3"/>
  <c r="AH30" i="3"/>
  <c r="AY30" i="3"/>
  <c r="AG30" i="3"/>
  <c r="AX30" i="3"/>
  <c r="AF30" i="3"/>
  <c r="AW30" i="3"/>
  <c r="AE30" i="3"/>
  <c r="AV30" i="3"/>
  <c r="AD30" i="3"/>
  <c r="AU30" i="3"/>
  <c r="AC30" i="3"/>
  <c r="AT30" i="3"/>
  <c r="AB30" i="3"/>
  <c r="AS30" i="3"/>
  <c r="AA30" i="3"/>
  <c r="AR30" i="3"/>
  <c r="AP29" i="3"/>
  <c r="BG29" i="3"/>
  <c r="AO29" i="3"/>
  <c r="BF29" i="3"/>
  <c r="AN29" i="3"/>
  <c r="BE29" i="3"/>
  <c r="AM29" i="3"/>
  <c r="BD29" i="3"/>
  <c r="AL29" i="3"/>
  <c r="BC29" i="3"/>
  <c r="AK29" i="3"/>
  <c r="BB29" i="3"/>
  <c r="AJ29" i="3"/>
  <c r="BA29" i="3"/>
  <c r="AI29" i="3"/>
  <c r="AZ29" i="3"/>
  <c r="AH29" i="3"/>
  <c r="AY29" i="3"/>
  <c r="AG29" i="3"/>
  <c r="AX29" i="3"/>
  <c r="AF29" i="3"/>
  <c r="AW29" i="3"/>
  <c r="AE29" i="3"/>
  <c r="AV29" i="3"/>
  <c r="AD29" i="3"/>
  <c r="AU29" i="3"/>
  <c r="AC29" i="3"/>
  <c r="AT29" i="3"/>
  <c r="AB29" i="3"/>
  <c r="AS29" i="3"/>
  <c r="AA29" i="3"/>
  <c r="AR29" i="3"/>
  <c r="AP28" i="3"/>
  <c r="BG28" i="3"/>
  <c r="AO28" i="3"/>
  <c r="BF28" i="3"/>
  <c r="AN28" i="3"/>
  <c r="BE28" i="3"/>
  <c r="AM28" i="3"/>
  <c r="BD28" i="3"/>
  <c r="AL28" i="3"/>
  <c r="BC28" i="3"/>
  <c r="AK28" i="3"/>
  <c r="BB28" i="3"/>
  <c r="AJ28" i="3"/>
  <c r="BA28" i="3"/>
  <c r="AI28" i="3"/>
  <c r="AZ28" i="3"/>
  <c r="AH28" i="3"/>
  <c r="AY28" i="3"/>
  <c r="AG28" i="3"/>
  <c r="AX28" i="3"/>
  <c r="AF28" i="3"/>
  <c r="AW28" i="3"/>
  <c r="AE28" i="3"/>
  <c r="AV28" i="3"/>
  <c r="AD28" i="3"/>
  <c r="AU28" i="3"/>
  <c r="AC28" i="3"/>
  <c r="AT28" i="3"/>
  <c r="AB28" i="3"/>
  <c r="AS28" i="3"/>
  <c r="AA28" i="3"/>
  <c r="AR28" i="3"/>
  <c r="AP27" i="3"/>
  <c r="BG27" i="3"/>
  <c r="AO27" i="3"/>
  <c r="BF27" i="3"/>
  <c r="AN27" i="3"/>
  <c r="BE27" i="3"/>
  <c r="AM27" i="3"/>
  <c r="BD27" i="3"/>
  <c r="AL27" i="3"/>
  <c r="BC27" i="3"/>
  <c r="AK27" i="3"/>
  <c r="BB27" i="3"/>
  <c r="AJ27" i="3"/>
  <c r="BA27" i="3"/>
  <c r="AI27" i="3"/>
  <c r="AZ27" i="3"/>
  <c r="AH27" i="3"/>
  <c r="AY27" i="3"/>
  <c r="AG27" i="3"/>
  <c r="AX27" i="3"/>
  <c r="AF27" i="3"/>
  <c r="AW27" i="3"/>
  <c r="AE27" i="3"/>
  <c r="AV27" i="3"/>
  <c r="AD27" i="3"/>
  <c r="AU27" i="3"/>
  <c r="AC27" i="3"/>
  <c r="AT27" i="3"/>
  <c r="AB27" i="3"/>
  <c r="AS27" i="3"/>
  <c r="AA27" i="3"/>
  <c r="AR27" i="3"/>
  <c r="AP26" i="3"/>
  <c r="BG26" i="3"/>
  <c r="AO26" i="3"/>
  <c r="BF26" i="3"/>
  <c r="AN26" i="3"/>
  <c r="BE26" i="3"/>
  <c r="AM26" i="3"/>
  <c r="BD26" i="3"/>
  <c r="AL26" i="3"/>
  <c r="BC26" i="3"/>
  <c r="AK26" i="3"/>
  <c r="BB26" i="3"/>
  <c r="AJ26" i="3"/>
  <c r="BA26" i="3"/>
  <c r="AI26" i="3"/>
  <c r="AZ26" i="3"/>
  <c r="AH26" i="3"/>
  <c r="AY26" i="3"/>
  <c r="AG26" i="3"/>
  <c r="AX26" i="3"/>
  <c r="AF26" i="3"/>
  <c r="AW26" i="3"/>
  <c r="AE26" i="3"/>
  <c r="AV26" i="3"/>
  <c r="AD26" i="3"/>
  <c r="AU26" i="3"/>
  <c r="AC26" i="3"/>
  <c r="AT26" i="3"/>
  <c r="AB26" i="3"/>
  <c r="AS26" i="3"/>
  <c r="AA26" i="3"/>
  <c r="AR26" i="3"/>
  <c r="AP25" i="3"/>
  <c r="BG25" i="3"/>
  <c r="AO25" i="3"/>
  <c r="BF25" i="3"/>
  <c r="AN25" i="3"/>
  <c r="BE25" i="3"/>
  <c r="AM25" i="3"/>
  <c r="BD25" i="3"/>
  <c r="AL25" i="3"/>
  <c r="BC25" i="3"/>
  <c r="AK25" i="3"/>
  <c r="BB25" i="3"/>
  <c r="AJ25" i="3"/>
  <c r="BA25" i="3"/>
  <c r="AI25" i="3"/>
  <c r="AZ25" i="3"/>
  <c r="AH25" i="3"/>
  <c r="AY25" i="3"/>
  <c r="AG25" i="3"/>
  <c r="AX25" i="3"/>
  <c r="AF25" i="3"/>
  <c r="AW25" i="3"/>
  <c r="AE25" i="3"/>
  <c r="AV25" i="3"/>
  <c r="AD25" i="3"/>
  <c r="AU25" i="3"/>
  <c r="AC25" i="3"/>
  <c r="AT25" i="3"/>
  <c r="AB25" i="3"/>
  <c r="AS25" i="3"/>
  <c r="AA25" i="3"/>
  <c r="AR25" i="3"/>
  <c r="AP24" i="3"/>
  <c r="BG24" i="3"/>
  <c r="AO24" i="3"/>
  <c r="BF24" i="3"/>
  <c r="AN24" i="3"/>
  <c r="BE24" i="3"/>
  <c r="AM24" i="3"/>
  <c r="BD24" i="3"/>
  <c r="AL24" i="3"/>
  <c r="BC24" i="3"/>
  <c r="AK24" i="3"/>
  <c r="BB24" i="3"/>
  <c r="AJ24" i="3"/>
  <c r="BA24" i="3"/>
  <c r="AI24" i="3"/>
  <c r="AZ24" i="3"/>
  <c r="AH24" i="3"/>
  <c r="AY24" i="3"/>
  <c r="AG24" i="3"/>
  <c r="AX24" i="3"/>
  <c r="AF24" i="3"/>
  <c r="AW24" i="3"/>
  <c r="AE24" i="3"/>
  <c r="AV24" i="3"/>
  <c r="AD24" i="3"/>
  <c r="AU24" i="3"/>
  <c r="AC24" i="3"/>
  <c r="AT24" i="3"/>
  <c r="AB24" i="3"/>
  <c r="AS24" i="3"/>
  <c r="AA24" i="3"/>
  <c r="AR24" i="3"/>
  <c r="AP23" i="3"/>
  <c r="BG23" i="3"/>
  <c r="AO23" i="3"/>
  <c r="BF23" i="3"/>
  <c r="AN23" i="3"/>
  <c r="BE23" i="3"/>
  <c r="AM23" i="3"/>
  <c r="BD23" i="3"/>
  <c r="AL23" i="3"/>
  <c r="BC23" i="3"/>
  <c r="AK23" i="3"/>
  <c r="BB23" i="3"/>
  <c r="AJ23" i="3"/>
  <c r="BA23" i="3"/>
  <c r="AI23" i="3"/>
  <c r="AZ23" i="3"/>
  <c r="AH23" i="3"/>
  <c r="AY23" i="3"/>
  <c r="AG23" i="3"/>
  <c r="AX23" i="3"/>
  <c r="AF23" i="3"/>
  <c r="AW23" i="3"/>
  <c r="AE23" i="3"/>
  <c r="AV23" i="3"/>
  <c r="AD23" i="3"/>
  <c r="AU23" i="3"/>
  <c r="AC23" i="3"/>
  <c r="AT23" i="3"/>
  <c r="AB23" i="3"/>
  <c r="AS23" i="3"/>
  <c r="AA23" i="3"/>
  <c r="AR23" i="3"/>
  <c r="AP22" i="3"/>
  <c r="BG22" i="3"/>
  <c r="AO22" i="3"/>
  <c r="BF22" i="3"/>
  <c r="AN22" i="3"/>
  <c r="BE22" i="3"/>
  <c r="AM22" i="3"/>
  <c r="BD22" i="3"/>
  <c r="AL22" i="3"/>
  <c r="BC22" i="3"/>
  <c r="AK22" i="3"/>
  <c r="BB22" i="3"/>
  <c r="AJ22" i="3"/>
  <c r="BA22" i="3"/>
  <c r="AI22" i="3"/>
  <c r="AZ22" i="3"/>
  <c r="AH22" i="3"/>
  <c r="AY22" i="3"/>
  <c r="AG22" i="3"/>
  <c r="AX22" i="3"/>
  <c r="AF22" i="3"/>
  <c r="AW22" i="3"/>
  <c r="AE22" i="3"/>
  <c r="AV22" i="3"/>
  <c r="AD22" i="3"/>
  <c r="AU22" i="3"/>
  <c r="AC22" i="3"/>
  <c r="AT22" i="3"/>
  <c r="AB22" i="3"/>
  <c r="AS22" i="3"/>
  <c r="AA22" i="3"/>
  <c r="AR22" i="3"/>
  <c r="AP21" i="3"/>
  <c r="BG21" i="3"/>
  <c r="AO21" i="3"/>
  <c r="BF21" i="3"/>
  <c r="AN21" i="3"/>
  <c r="BE21" i="3"/>
  <c r="AM21" i="3"/>
  <c r="BD21" i="3"/>
  <c r="AL21" i="3"/>
  <c r="BC21" i="3"/>
  <c r="AK21" i="3"/>
  <c r="BB21" i="3"/>
  <c r="AJ21" i="3"/>
  <c r="BA21" i="3"/>
  <c r="AI21" i="3"/>
  <c r="AZ21" i="3"/>
  <c r="AH21" i="3"/>
  <c r="AY21" i="3"/>
  <c r="AG21" i="3"/>
  <c r="AX21" i="3"/>
  <c r="AF21" i="3"/>
  <c r="AW21" i="3"/>
  <c r="AE21" i="3"/>
  <c r="AV21" i="3"/>
  <c r="AD21" i="3"/>
  <c r="AU21" i="3"/>
  <c r="AC21" i="3"/>
  <c r="AT21" i="3"/>
  <c r="AB21" i="3"/>
  <c r="AS21" i="3"/>
  <c r="AA21" i="3"/>
  <c r="AR21" i="3"/>
  <c r="AP20" i="3"/>
  <c r="BG20" i="3"/>
  <c r="AO20" i="3"/>
  <c r="BF20" i="3"/>
  <c r="AN20" i="3"/>
  <c r="BE20" i="3"/>
  <c r="AM20" i="3"/>
  <c r="BD20" i="3"/>
  <c r="AL20" i="3"/>
  <c r="BC20" i="3"/>
  <c r="AK20" i="3"/>
  <c r="BB20" i="3"/>
  <c r="AJ20" i="3"/>
  <c r="BA20" i="3"/>
  <c r="AI20" i="3"/>
  <c r="AZ20" i="3"/>
  <c r="AH20" i="3"/>
  <c r="AY20" i="3"/>
  <c r="AG20" i="3"/>
  <c r="AX20" i="3"/>
  <c r="AF20" i="3"/>
  <c r="AW20" i="3"/>
  <c r="AE20" i="3"/>
  <c r="AV20" i="3"/>
  <c r="AD20" i="3"/>
  <c r="AU20" i="3"/>
  <c r="AC20" i="3"/>
  <c r="AT20" i="3"/>
  <c r="AB20" i="3"/>
  <c r="AS20" i="3"/>
  <c r="AA20" i="3"/>
  <c r="AR20" i="3"/>
  <c r="AP19" i="3"/>
  <c r="BG19" i="3"/>
  <c r="AO19" i="3"/>
  <c r="BF19" i="3"/>
  <c r="AN19" i="3"/>
  <c r="BE19" i="3"/>
  <c r="AM19" i="3"/>
  <c r="BD19" i="3"/>
  <c r="AL19" i="3"/>
  <c r="BC19" i="3"/>
  <c r="AK19" i="3"/>
  <c r="BB19" i="3"/>
  <c r="AJ19" i="3"/>
  <c r="BA19" i="3"/>
  <c r="AI19" i="3"/>
  <c r="AZ19" i="3"/>
  <c r="AH19" i="3"/>
  <c r="AY19" i="3"/>
  <c r="AG19" i="3"/>
  <c r="AX19" i="3"/>
  <c r="AF19" i="3"/>
  <c r="AW19" i="3"/>
  <c r="AE19" i="3"/>
  <c r="AV19" i="3"/>
  <c r="AD19" i="3"/>
  <c r="AU19" i="3"/>
  <c r="AC19" i="3"/>
  <c r="AT19" i="3"/>
  <c r="AB19" i="3"/>
  <c r="AS19" i="3"/>
  <c r="AA19" i="3"/>
  <c r="AR19" i="3"/>
  <c r="AP18" i="3"/>
  <c r="BG18" i="3"/>
  <c r="AO18" i="3"/>
  <c r="BF18" i="3"/>
  <c r="AN18" i="3"/>
  <c r="BE18" i="3"/>
  <c r="AM18" i="3"/>
  <c r="BD18" i="3"/>
  <c r="AL18" i="3"/>
  <c r="BC18" i="3"/>
  <c r="AK18" i="3"/>
  <c r="BB18" i="3"/>
  <c r="AJ18" i="3"/>
  <c r="BA18" i="3"/>
  <c r="AI18" i="3"/>
  <c r="AZ18" i="3"/>
  <c r="AH18" i="3"/>
  <c r="AY18" i="3"/>
  <c r="AG18" i="3"/>
  <c r="AX18" i="3"/>
  <c r="AF18" i="3"/>
  <c r="AW18" i="3"/>
  <c r="AE18" i="3"/>
  <c r="AV18" i="3"/>
  <c r="AD18" i="3"/>
  <c r="AU18" i="3"/>
  <c r="AC18" i="3"/>
  <c r="AT18" i="3"/>
  <c r="AB18" i="3"/>
  <c r="AS18" i="3"/>
  <c r="AA18" i="3"/>
  <c r="AR18" i="3"/>
  <c r="AP17" i="3"/>
  <c r="BG17" i="3"/>
  <c r="AO17" i="3"/>
  <c r="BF17" i="3"/>
  <c r="AN17" i="3"/>
  <c r="BE17" i="3"/>
  <c r="AM17" i="3"/>
  <c r="BD17" i="3"/>
  <c r="AL17" i="3"/>
  <c r="BC17" i="3"/>
  <c r="AK17" i="3"/>
  <c r="BB17" i="3"/>
  <c r="AJ17" i="3"/>
  <c r="BA17" i="3"/>
  <c r="AI17" i="3"/>
  <c r="AZ17" i="3"/>
  <c r="AH17" i="3"/>
  <c r="AY17" i="3"/>
  <c r="AG17" i="3"/>
  <c r="AX17" i="3"/>
  <c r="AF17" i="3"/>
  <c r="AW17" i="3"/>
  <c r="AE17" i="3"/>
  <c r="AV17" i="3"/>
  <c r="AD17" i="3"/>
  <c r="AU17" i="3"/>
  <c r="AC17" i="3"/>
  <c r="AT17" i="3"/>
  <c r="AB17" i="3"/>
  <c r="AS17" i="3"/>
  <c r="AA17" i="3"/>
  <c r="AR17" i="3"/>
  <c r="AP16" i="3"/>
  <c r="BG16" i="3"/>
  <c r="AO16" i="3"/>
  <c r="BF16" i="3"/>
  <c r="AN16" i="3"/>
  <c r="BE16" i="3"/>
  <c r="AM16" i="3"/>
  <c r="BD16" i="3"/>
  <c r="AL16" i="3"/>
  <c r="BC16" i="3"/>
  <c r="AK16" i="3"/>
  <c r="BB16" i="3"/>
  <c r="AJ16" i="3"/>
  <c r="BA16" i="3"/>
  <c r="AI16" i="3"/>
  <c r="AZ16" i="3"/>
  <c r="AH16" i="3"/>
  <c r="AY16" i="3"/>
  <c r="AG16" i="3"/>
  <c r="AX16" i="3"/>
  <c r="AF16" i="3"/>
  <c r="AW16" i="3"/>
  <c r="AE16" i="3"/>
  <c r="AV16" i="3"/>
  <c r="AD16" i="3"/>
  <c r="AU16" i="3"/>
  <c r="AC16" i="3"/>
  <c r="AT16" i="3"/>
  <c r="AB16" i="3"/>
  <c r="AS16" i="3"/>
  <c r="AA16" i="3"/>
  <c r="AR16" i="3"/>
  <c r="AP15" i="3"/>
  <c r="BG15" i="3"/>
  <c r="AO15" i="3"/>
  <c r="BF15" i="3"/>
  <c r="AN15" i="3"/>
  <c r="BE15" i="3"/>
  <c r="AM15" i="3"/>
  <c r="BD15" i="3"/>
  <c r="AL15" i="3"/>
  <c r="BC15" i="3"/>
  <c r="AK15" i="3"/>
  <c r="BB15" i="3"/>
  <c r="AJ15" i="3"/>
  <c r="BA15" i="3"/>
  <c r="AI15" i="3"/>
  <c r="AZ15" i="3"/>
  <c r="AH15" i="3"/>
  <c r="AY15" i="3"/>
  <c r="AG15" i="3"/>
  <c r="AX15" i="3"/>
  <c r="AF15" i="3"/>
  <c r="AW15" i="3"/>
  <c r="AE15" i="3"/>
  <c r="AV15" i="3"/>
  <c r="AD15" i="3"/>
  <c r="AU15" i="3"/>
  <c r="AC15" i="3"/>
  <c r="AT15" i="3"/>
  <c r="AB15" i="3"/>
  <c r="AS15" i="3"/>
  <c r="AA15" i="3"/>
  <c r="AR15" i="3"/>
  <c r="AP14" i="3"/>
  <c r="BG14" i="3"/>
  <c r="AO14" i="3"/>
  <c r="BF14" i="3"/>
  <c r="AN14" i="3"/>
  <c r="BE14" i="3"/>
  <c r="AM14" i="3"/>
  <c r="BD14" i="3"/>
  <c r="AL14" i="3"/>
  <c r="BC14" i="3"/>
  <c r="AK14" i="3"/>
  <c r="BB14" i="3"/>
  <c r="AJ14" i="3"/>
  <c r="BA14" i="3"/>
  <c r="AI14" i="3"/>
  <c r="AZ14" i="3"/>
  <c r="AH14" i="3"/>
  <c r="AY14" i="3"/>
  <c r="AG14" i="3"/>
  <c r="AX14" i="3"/>
  <c r="AF14" i="3"/>
  <c r="AW14" i="3"/>
  <c r="AE14" i="3"/>
  <c r="AV14" i="3"/>
  <c r="AD14" i="3"/>
  <c r="AU14" i="3"/>
  <c r="AC14" i="3"/>
  <c r="AT14" i="3"/>
  <c r="AB14" i="3"/>
  <c r="AS14" i="3"/>
  <c r="AA14" i="3"/>
  <c r="AR14" i="3"/>
  <c r="AP13" i="3"/>
  <c r="BG13" i="3"/>
  <c r="AO13" i="3"/>
  <c r="BF13" i="3"/>
  <c r="AN13" i="3"/>
  <c r="BE13" i="3"/>
  <c r="AM13" i="3"/>
  <c r="BD13" i="3"/>
  <c r="AL13" i="3"/>
  <c r="BC13" i="3"/>
  <c r="AK13" i="3"/>
  <c r="BB13" i="3"/>
  <c r="AJ13" i="3"/>
  <c r="BA13" i="3"/>
  <c r="AI13" i="3"/>
  <c r="AZ13" i="3"/>
  <c r="AH13" i="3"/>
  <c r="AY13" i="3"/>
  <c r="AG13" i="3"/>
  <c r="AX13" i="3"/>
  <c r="AF13" i="3"/>
  <c r="AW13" i="3"/>
  <c r="AE13" i="3"/>
  <c r="AV13" i="3"/>
  <c r="AD13" i="3"/>
  <c r="AU13" i="3"/>
  <c r="AC13" i="3"/>
  <c r="AT13" i="3"/>
  <c r="AB13" i="3"/>
  <c r="AS13" i="3"/>
  <c r="AA13" i="3"/>
  <c r="AR13" i="3"/>
  <c r="AP12" i="3"/>
  <c r="BG12" i="3"/>
  <c r="AO12" i="3"/>
  <c r="BF12" i="3"/>
  <c r="AN12" i="3"/>
  <c r="BE12" i="3"/>
  <c r="AM12" i="3"/>
  <c r="BD12" i="3"/>
  <c r="AL12" i="3"/>
  <c r="BC12" i="3"/>
  <c r="AK12" i="3"/>
  <c r="BB12" i="3"/>
  <c r="AJ12" i="3"/>
  <c r="BA12" i="3"/>
  <c r="AI12" i="3"/>
  <c r="AZ12" i="3"/>
  <c r="AH12" i="3"/>
  <c r="AY12" i="3"/>
  <c r="AG12" i="3"/>
  <c r="AX12" i="3"/>
  <c r="AF12" i="3"/>
  <c r="AW12" i="3"/>
  <c r="AE12" i="3"/>
  <c r="AV12" i="3"/>
  <c r="AD12" i="3"/>
  <c r="AU12" i="3"/>
  <c r="AC12" i="3"/>
  <c r="AT12" i="3"/>
  <c r="AB12" i="3"/>
  <c r="AS12" i="3"/>
  <c r="AA12" i="3"/>
  <c r="AR12" i="3"/>
  <c r="AP11" i="3"/>
  <c r="BG11" i="3"/>
  <c r="AO11" i="3"/>
  <c r="BF11" i="3"/>
  <c r="AN11" i="3"/>
  <c r="BE11" i="3"/>
  <c r="AM11" i="3"/>
  <c r="BD11" i="3"/>
  <c r="AL11" i="3"/>
  <c r="BC11" i="3"/>
  <c r="AK11" i="3"/>
  <c r="BB11" i="3"/>
  <c r="AJ11" i="3"/>
  <c r="BA11" i="3"/>
  <c r="AI11" i="3"/>
  <c r="AZ11" i="3"/>
  <c r="AH11" i="3"/>
  <c r="AY11" i="3"/>
  <c r="AG11" i="3"/>
  <c r="AX11" i="3"/>
  <c r="AF11" i="3"/>
  <c r="AW11" i="3"/>
  <c r="AE11" i="3"/>
  <c r="AV11" i="3"/>
  <c r="AD11" i="3"/>
  <c r="AU11" i="3"/>
  <c r="AC11" i="3"/>
  <c r="AT11" i="3"/>
  <c r="AB11" i="3"/>
  <c r="AS11" i="3"/>
  <c r="AA11" i="3"/>
  <c r="AR11" i="3"/>
  <c r="AP10" i="3"/>
  <c r="BG10" i="3"/>
  <c r="AO10" i="3"/>
  <c r="BF10" i="3"/>
  <c r="AN10" i="3"/>
  <c r="BE10" i="3"/>
  <c r="AM10" i="3"/>
  <c r="BD10" i="3"/>
  <c r="AL10" i="3"/>
  <c r="BC10" i="3"/>
  <c r="AK10" i="3"/>
  <c r="BB10" i="3"/>
  <c r="AJ10" i="3"/>
  <c r="BA10" i="3"/>
  <c r="AI10" i="3"/>
  <c r="AZ10" i="3"/>
  <c r="AH10" i="3"/>
  <c r="AY10" i="3"/>
  <c r="AG10" i="3"/>
  <c r="AX10" i="3"/>
  <c r="AF10" i="3"/>
  <c r="AW10" i="3"/>
  <c r="AE10" i="3"/>
  <c r="AV10" i="3"/>
  <c r="AD10" i="3"/>
  <c r="AU10" i="3"/>
  <c r="AC10" i="3"/>
  <c r="AT10" i="3"/>
  <c r="AB10" i="3"/>
  <c r="AS10" i="3"/>
  <c r="AA10" i="3"/>
  <c r="AR10" i="3"/>
  <c r="AP9" i="3"/>
  <c r="BG9" i="3"/>
  <c r="AO9" i="3"/>
  <c r="BF9" i="3"/>
  <c r="AN9" i="3"/>
  <c r="BE9" i="3"/>
  <c r="AM9" i="3"/>
  <c r="BD9" i="3"/>
  <c r="AL9" i="3"/>
  <c r="BC9" i="3"/>
  <c r="AK9" i="3"/>
  <c r="BB9" i="3"/>
  <c r="AJ9" i="3"/>
  <c r="BA9" i="3"/>
  <c r="AI9" i="3"/>
  <c r="AZ9" i="3"/>
  <c r="AH9" i="3"/>
  <c r="AY9" i="3"/>
  <c r="AG9" i="3"/>
  <c r="AX9" i="3"/>
  <c r="AF9" i="3"/>
  <c r="AW9" i="3"/>
  <c r="AE9" i="3"/>
  <c r="AV9" i="3"/>
  <c r="AD9" i="3"/>
  <c r="AU9" i="3"/>
  <c r="AC9" i="3"/>
  <c r="AT9" i="3"/>
  <c r="AB9" i="3"/>
  <c r="AS9" i="3"/>
  <c r="AA9" i="3"/>
  <c r="AR9" i="3"/>
  <c r="AP8" i="3"/>
  <c r="BG8" i="3"/>
  <c r="AO8" i="3"/>
  <c r="BF8" i="3"/>
  <c r="AN8" i="3"/>
  <c r="BE8" i="3"/>
  <c r="AM8" i="3"/>
  <c r="BD8" i="3"/>
  <c r="AL8" i="3"/>
  <c r="BC8" i="3"/>
  <c r="AK8" i="3"/>
  <c r="BB8" i="3"/>
  <c r="AJ8" i="3"/>
  <c r="BA8" i="3"/>
  <c r="AI8" i="3"/>
  <c r="AZ8" i="3"/>
  <c r="AH8" i="3"/>
  <c r="AY8" i="3"/>
  <c r="AG8" i="3"/>
  <c r="AX8" i="3"/>
  <c r="AF8" i="3"/>
  <c r="AW8" i="3"/>
  <c r="AE8" i="3"/>
  <c r="AV8" i="3"/>
  <c r="AD8" i="3"/>
  <c r="AU8" i="3"/>
  <c r="AC8" i="3"/>
  <c r="AT8" i="3"/>
  <c r="AB8" i="3"/>
  <c r="AS8" i="3"/>
  <c r="AA8" i="3"/>
  <c r="AR8" i="3"/>
  <c r="AP7" i="3"/>
  <c r="BG7" i="3"/>
  <c r="AO7" i="3"/>
  <c r="BF7" i="3"/>
  <c r="AN7" i="3"/>
  <c r="BE7" i="3"/>
  <c r="AM7" i="3"/>
  <c r="BD7" i="3"/>
  <c r="AL7" i="3"/>
  <c r="BC7" i="3"/>
  <c r="AK7" i="3"/>
  <c r="BB7" i="3"/>
  <c r="AJ7" i="3"/>
  <c r="BA7" i="3"/>
  <c r="AI7" i="3"/>
  <c r="AZ7" i="3"/>
  <c r="AH7" i="3"/>
  <c r="AY7" i="3"/>
  <c r="AG7" i="3"/>
  <c r="AX7" i="3"/>
  <c r="AF7" i="3"/>
  <c r="AW7" i="3"/>
  <c r="AE7" i="3"/>
  <c r="AV7" i="3"/>
  <c r="AD7" i="3"/>
  <c r="AU7" i="3"/>
  <c r="AC7" i="3"/>
  <c r="AT7" i="3"/>
  <c r="AB7" i="3"/>
  <c r="AS7" i="3"/>
  <c r="AA7" i="3"/>
  <c r="AR7" i="3"/>
  <c r="AP6" i="3"/>
  <c r="BG6" i="3"/>
  <c r="AO6" i="3"/>
  <c r="BF6" i="3"/>
  <c r="AN6" i="3"/>
  <c r="BE6" i="3"/>
  <c r="AM6" i="3"/>
  <c r="BD6" i="3"/>
  <c r="AL6" i="3"/>
  <c r="BC6" i="3"/>
  <c r="AK6" i="3"/>
  <c r="BB6" i="3"/>
  <c r="AJ6" i="3"/>
  <c r="BA6" i="3"/>
  <c r="AI6" i="3"/>
  <c r="AZ6" i="3"/>
  <c r="AH6" i="3"/>
  <c r="AY6" i="3"/>
  <c r="AG6" i="3"/>
  <c r="AX6" i="3"/>
  <c r="AF6" i="3"/>
  <c r="AW6" i="3"/>
  <c r="AE6" i="3"/>
  <c r="AV6" i="3"/>
  <c r="AD6" i="3"/>
  <c r="AU6" i="3"/>
  <c r="AC6" i="3"/>
  <c r="AT6" i="3"/>
  <c r="AB6" i="3"/>
  <c r="AS6" i="3"/>
  <c r="AA6" i="3"/>
  <c r="AR6" i="3"/>
  <c r="AP5" i="3"/>
  <c r="BG5" i="3"/>
  <c r="AO5" i="3"/>
  <c r="BF5" i="3"/>
  <c r="AN5" i="3"/>
  <c r="BE5" i="3"/>
  <c r="AM5" i="3"/>
  <c r="BD5" i="3"/>
  <c r="AL5" i="3"/>
  <c r="BC5" i="3"/>
  <c r="AK5" i="3"/>
  <c r="BB5" i="3"/>
  <c r="AJ5" i="3"/>
  <c r="BA5" i="3"/>
  <c r="AI5" i="3"/>
  <c r="AZ5" i="3"/>
  <c r="AH5" i="3"/>
  <c r="AY5" i="3"/>
  <c r="AG5" i="3"/>
  <c r="AX5" i="3"/>
  <c r="AF5" i="3"/>
  <c r="AW5" i="3"/>
  <c r="AE5" i="3"/>
  <c r="AV5" i="3"/>
  <c r="AD5" i="3"/>
  <c r="AU5" i="3"/>
  <c r="AC5" i="3"/>
  <c r="AT5" i="3"/>
  <c r="AB5" i="3"/>
  <c r="AS5" i="3"/>
  <c r="AA5" i="3"/>
  <c r="AR5" i="3"/>
  <c r="AP4" i="3"/>
  <c r="BG4" i="3"/>
  <c r="AO4" i="3"/>
  <c r="BF4" i="3"/>
  <c r="AN4" i="3"/>
  <c r="BE4" i="3"/>
  <c r="AM4" i="3"/>
  <c r="BD4" i="3"/>
  <c r="AL4" i="3"/>
  <c r="BC4" i="3"/>
  <c r="AK4" i="3"/>
  <c r="BB4" i="3"/>
  <c r="AJ4" i="3"/>
  <c r="BA4" i="3"/>
  <c r="AI4" i="3"/>
  <c r="AZ4" i="3"/>
  <c r="AH4" i="3"/>
  <c r="AY4" i="3"/>
  <c r="AG4" i="3"/>
  <c r="AX4" i="3"/>
  <c r="AF4" i="3"/>
  <c r="AW4" i="3"/>
  <c r="AE4" i="3"/>
  <c r="AV4" i="3"/>
  <c r="AD4" i="3"/>
  <c r="AU4" i="3"/>
  <c r="AC4" i="3"/>
  <c r="AT4" i="3"/>
  <c r="AB4" i="3"/>
  <c r="AS4" i="3"/>
  <c r="AP2" i="3"/>
  <c r="BG2" i="3"/>
  <c r="AO2" i="3"/>
  <c r="BF2" i="3"/>
  <c r="AN2" i="3"/>
  <c r="BE2" i="3"/>
  <c r="AM2" i="3"/>
  <c r="BD2" i="3"/>
  <c r="AL2" i="3"/>
  <c r="BC2" i="3"/>
  <c r="AK2" i="3"/>
  <c r="BB2" i="3"/>
  <c r="AJ2" i="3"/>
  <c r="BA2" i="3"/>
  <c r="AI2" i="3"/>
  <c r="AZ2" i="3"/>
  <c r="AH2" i="3"/>
  <c r="AY2" i="3"/>
  <c r="AG2" i="3"/>
  <c r="AX2" i="3"/>
  <c r="AF2" i="3"/>
  <c r="AW2" i="3"/>
  <c r="AE2" i="3"/>
  <c r="AV2" i="3"/>
  <c r="AD2" i="3"/>
  <c r="AU2" i="3"/>
  <c r="AC2" i="3"/>
  <c r="AT2" i="3"/>
  <c r="P71" i="3"/>
  <c r="Q17" i="3"/>
  <c r="Q18" i="3"/>
  <c r="P17" i="3"/>
  <c r="P18" i="3"/>
  <c r="C5" i="4"/>
  <c r="C13" i="4"/>
  <c r="C19" i="4"/>
  <c r="C29" i="4"/>
  <c r="C31" i="4"/>
  <c r="E5" i="4"/>
  <c r="E13" i="4"/>
  <c r="E19" i="4"/>
  <c r="E29" i="4"/>
  <c r="E31" i="4"/>
  <c r="P2" i="3"/>
  <c r="P3" i="3"/>
  <c r="P4" i="3"/>
  <c r="P5" i="3"/>
  <c r="P6" i="3"/>
  <c r="P19" i="3"/>
  <c r="P20" i="3"/>
  <c r="P21" i="3"/>
  <c r="P69" i="3"/>
  <c r="P70" i="3"/>
  <c r="P72" i="3"/>
  <c r="P73" i="3"/>
  <c r="P103" i="3"/>
  <c r="P104" i="3"/>
  <c r="P105" i="3"/>
  <c r="P106" i="3"/>
  <c r="P107" i="3"/>
  <c r="P108" i="3"/>
  <c r="P109" i="3"/>
  <c r="P168" i="3"/>
  <c r="P169" i="3"/>
  <c r="P170" i="3"/>
  <c r="P171" i="3"/>
  <c r="P172" i="3"/>
  <c r="P182" i="3"/>
  <c r="P183" i="3"/>
  <c r="P184" i="3"/>
  <c r="P216" i="3"/>
  <c r="P217" i="3"/>
  <c r="P218" i="3"/>
  <c r="P33" i="3"/>
  <c r="P34" i="3"/>
  <c r="P35" i="3"/>
  <c r="Q2" i="3"/>
  <c r="Q3" i="3"/>
  <c r="Q4" i="3"/>
  <c r="Q5" i="3"/>
  <c r="Q6" i="3"/>
  <c r="Q19" i="3"/>
  <c r="Q20" i="3"/>
  <c r="Q21" i="3"/>
  <c r="Q69" i="3"/>
  <c r="Q70" i="3"/>
  <c r="Q71" i="3"/>
  <c r="Q72" i="3"/>
  <c r="Q73" i="3"/>
  <c r="Q103" i="3"/>
  <c r="Q104" i="3"/>
  <c r="Q105" i="3"/>
  <c r="Q106" i="3"/>
  <c r="Q107" i="3"/>
  <c r="Q108" i="3"/>
  <c r="Q109" i="3"/>
  <c r="Q168" i="3"/>
  <c r="Q169" i="3"/>
  <c r="Q170" i="3"/>
  <c r="Q171" i="3"/>
  <c r="Q172" i="3"/>
  <c r="Q182" i="3"/>
  <c r="Q183" i="3"/>
  <c r="Q184" i="3"/>
  <c r="Q216" i="3"/>
  <c r="Q217" i="3"/>
  <c r="Q218" i="3"/>
  <c r="Q33" i="3"/>
  <c r="Q34" i="3"/>
  <c r="Q35" i="3"/>
  <c r="C2" i="4"/>
  <c r="E2" i="4"/>
  <c r="AA127" i="3"/>
  <c r="AR127" i="3"/>
  <c r="AA66" i="3"/>
  <c r="AR66" i="3"/>
  <c r="O5" i="1"/>
  <c r="K17" i="1"/>
  <c r="K18" i="1"/>
  <c r="K19" i="1"/>
  <c r="K20" i="1"/>
  <c r="L17" i="1"/>
  <c r="L18" i="1"/>
  <c r="L19" i="1"/>
  <c r="L20" i="1"/>
  <c r="M17" i="1"/>
  <c r="M18" i="1"/>
  <c r="M19" i="1"/>
  <c r="M20" i="1"/>
  <c r="K6" i="1"/>
  <c r="K7" i="1"/>
  <c r="K8" i="1"/>
  <c r="K9" i="1"/>
  <c r="K10" i="1"/>
  <c r="K11" i="1"/>
  <c r="K12" i="1"/>
  <c r="K13" i="1"/>
  <c r="K14" i="1"/>
  <c r="K15" i="1"/>
  <c r="K16" i="1"/>
  <c r="L6" i="1"/>
  <c r="L7" i="1"/>
  <c r="L8" i="1"/>
  <c r="L9" i="1"/>
  <c r="L10" i="1"/>
  <c r="L11" i="1"/>
  <c r="L12" i="1"/>
  <c r="L13" i="1"/>
  <c r="L14" i="1"/>
  <c r="L15" i="1"/>
  <c r="M6" i="1"/>
  <c r="M7" i="1"/>
  <c r="M8" i="1"/>
  <c r="M9" i="1"/>
  <c r="M10" i="1"/>
  <c r="M11" i="1"/>
  <c r="M12" i="1"/>
  <c r="M13" i="1"/>
  <c r="M14" i="1"/>
  <c r="M15" i="1"/>
  <c r="M16" i="1"/>
  <c r="M5" i="1"/>
  <c r="L5" i="1"/>
  <c r="K5" i="1"/>
  <c r="J6" i="1"/>
  <c r="J7" i="1"/>
  <c r="J8" i="1"/>
  <c r="J9" i="1"/>
  <c r="J10" i="1"/>
  <c r="J11" i="1"/>
  <c r="J12" i="1"/>
  <c r="J13" i="1"/>
  <c r="J14" i="1"/>
  <c r="J15" i="1"/>
  <c r="J16" i="1"/>
  <c r="J17" i="1"/>
  <c r="J18" i="1"/>
  <c r="J19" i="1"/>
  <c r="J20" i="1"/>
  <c r="J5" i="1"/>
  <c r="I6" i="1"/>
  <c r="I7" i="1"/>
  <c r="I8" i="1"/>
  <c r="I9" i="1"/>
  <c r="I10" i="1"/>
  <c r="I11" i="1"/>
  <c r="I12" i="1"/>
  <c r="I13" i="1"/>
  <c r="I14" i="1"/>
  <c r="I15" i="1"/>
  <c r="I16" i="1"/>
  <c r="I17" i="1"/>
  <c r="I18" i="1"/>
  <c r="I19" i="1"/>
  <c r="I20" i="1"/>
  <c r="I5" i="1"/>
  <c r="BU16" i="4"/>
  <c r="BU13" i="4"/>
  <c r="BU19" i="4"/>
  <c r="BU5" i="4"/>
  <c r="BU6" i="4"/>
  <c r="BU7" i="4"/>
  <c r="BU8" i="4"/>
  <c r="BU9" i="4"/>
  <c r="BU10" i="4"/>
  <c r="BU11" i="4"/>
  <c r="BU12" i="4"/>
  <c r="BU14" i="4"/>
  <c r="BU15" i="4"/>
  <c r="BU17" i="4"/>
  <c r="BU18" i="4"/>
  <c r="BU4" i="4"/>
  <c r="BS5" i="4"/>
  <c r="BS6" i="4"/>
  <c r="BS7" i="4"/>
  <c r="BS8" i="4"/>
  <c r="BS9" i="4"/>
  <c r="BS10" i="4"/>
  <c r="BS11" i="4"/>
  <c r="BS12" i="4"/>
  <c r="BS13" i="4"/>
  <c r="BS14" i="4"/>
  <c r="BS15" i="4"/>
  <c r="BS16" i="4"/>
  <c r="BS17" i="4"/>
  <c r="BS18" i="4"/>
  <c r="BS19" i="4"/>
  <c r="BS4" i="4"/>
  <c r="BP5" i="4"/>
  <c r="BP6" i="4"/>
  <c r="BP7" i="4"/>
  <c r="BP8" i="4"/>
  <c r="BP9" i="4"/>
  <c r="BP10" i="4"/>
  <c r="BP11" i="4"/>
  <c r="BP12" i="4"/>
  <c r="BP13" i="4"/>
  <c r="BP14" i="4"/>
  <c r="BP15" i="4"/>
  <c r="BP16" i="4"/>
  <c r="BP17" i="4"/>
  <c r="BP18" i="4"/>
  <c r="BP19" i="4"/>
  <c r="BP4" i="4"/>
  <c r="BN5" i="4"/>
  <c r="BN6" i="4"/>
  <c r="BN7" i="4"/>
  <c r="BN8" i="4"/>
  <c r="BN9" i="4"/>
  <c r="BN10" i="4"/>
  <c r="BN11" i="4"/>
  <c r="BN12" i="4"/>
  <c r="BN13" i="4"/>
  <c r="BN14" i="4"/>
  <c r="BN15" i="4"/>
  <c r="BN16" i="4"/>
  <c r="BN17" i="4"/>
  <c r="BN18" i="4"/>
  <c r="BN19" i="4"/>
  <c r="BN4" i="4"/>
  <c r="BL5" i="4"/>
  <c r="BL6" i="4"/>
  <c r="BL7" i="4"/>
  <c r="BL8" i="4"/>
  <c r="BL9" i="4"/>
  <c r="BL10" i="4"/>
  <c r="BL11" i="4"/>
  <c r="BL12" i="4"/>
  <c r="BL13" i="4"/>
  <c r="BL14" i="4"/>
  <c r="BL15" i="4"/>
  <c r="BL16" i="4"/>
  <c r="BL17" i="4"/>
  <c r="BL18" i="4"/>
  <c r="BL19" i="4"/>
  <c r="BL4" i="4"/>
  <c r="BJ5" i="4"/>
  <c r="BJ6" i="4"/>
  <c r="BJ7" i="4"/>
  <c r="BJ8" i="4"/>
  <c r="BJ9" i="4"/>
  <c r="BJ10" i="4"/>
  <c r="BJ11" i="4"/>
  <c r="BJ12" i="4"/>
  <c r="BJ13" i="4"/>
  <c r="BJ14" i="4"/>
  <c r="BJ15" i="4"/>
  <c r="BJ16" i="4"/>
  <c r="BJ17" i="4"/>
  <c r="BJ18" i="4"/>
  <c r="BJ19" i="4"/>
  <c r="BJ4" i="4"/>
  <c r="N23" i="1"/>
  <c r="N25" i="1"/>
  <c r="BS21" i="4"/>
  <c r="BP21" i="4"/>
  <c r="BL21" i="4"/>
  <c r="BJ21" i="4"/>
  <c r="BN21" i="4"/>
  <c r="BO4" i="4"/>
  <c r="BT5" i="4"/>
  <c r="BT9" i="4"/>
  <c r="BT13" i="4"/>
  <c r="BT17" i="4"/>
  <c r="BT8" i="4"/>
  <c r="BT12" i="4"/>
  <c r="BT16" i="4"/>
  <c r="BT4" i="4"/>
  <c r="BT6" i="4"/>
  <c r="BT10" i="4"/>
  <c r="BT14" i="4"/>
  <c r="BT18" i="4"/>
  <c r="BT7" i="4"/>
  <c r="BT11" i="4"/>
  <c r="BT15" i="4"/>
  <c r="BT19" i="4"/>
  <c r="BM8" i="4"/>
  <c r="BM12" i="4"/>
  <c r="BM16" i="4"/>
  <c r="BM6" i="4"/>
  <c r="BM10" i="4"/>
  <c r="BM14" i="4"/>
  <c r="BM18" i="4"/>
  <c r="BM11" i="4"/>
  <c r="BM15" i="4"/>
  <c r="BM5" i="4"/>
  <c r="BM9" i="4"/>
  <c r="BM13" i="4"/>
  <c r="BM17" i="4"/>
  <c r="BM7" i="4"/>
  <c r="BM19" i="4"/>
  <c r="BM4" i="4"/>
  <c r="BO8" i="4"/>
  <c r="BO12" i="4"/>
  <c r="BO16" i="4"/>
  <c r="BO6" i="4"/>
  <c r="BO14" i="4"/>
  <c r="BO18" i="4"/>
  <c r="BO7" i="4"/>
  <c r="BO15" i="4"/>
  <c r="BO5" i="4"/>
  <c r="BO9" i="4"/>
  <c r="BO13" i="4"/>
  <c r="BO17" i="4"/>
  <c r="BO10" i="4"/>
  <c r="BO11" i="4"/>
  <c r="BO19" i="4"/>
  <c r="BQ5" i="4"/>
  <c r="BQ9" i="4"/>
  <c r="BQ13" i="4"/>
  <c r="BQ17" i="4"/>
  <c r="BQ6" i="4"/>
  <c r="BQ10" i="4"/>
  <c r="BQ14" i="4"/>
  <c r="BQ18" i="4"/>
  <c r="BQ7" i="4"/>
  <c r="BQ11" i="4"/>
  <c r="BQ15" i="4"/>
  <c r="BQ19" i="4"/>
  <c r="BQ8" i="4"/>
  <c r="BQ12" i="4"/>
  <c r="BQ4" i="4"/>
  <c r="BK5" i="4"/>
  <c r="BK9" i="4"/>
  <c r="BK13" i="4"/>
  <c r="BK17" i="4"/>
  <c r="BK6" i="4"/>
  <c r="BK10" i="4"/>
  <c r="BK14" i="4"/>
  <c r="BK18" i="4"/>
  <c r="BK7" i="4"/>
  <c r="BK11" i="4"/>
  <c r="BK15" i="4"/>
  <c r="BK19" i="4"/>
  <c r="BK8" i="4"/>
  <c r="BK12" i="4"/>
  <c r="BK16" i="4"/>
  <c r="BK4" i="4"/>
  <c r="BQ16" i="4"/>
  <c r="BT21" i="4"/>
  <c r="BR18" i="4"/>
  <c r="N19" i="1"/>
  <c r="BR4" i="4"/>
  <c r="N5" i="1"/>
  <c r="BR12" i="4"/>
  <c r="N13" i="1"/>
  <c r="BR8" i="4"/>
  <c r="BR14" i="4"/>
  <c r="N15" i="1"/>
  <c r="BR10" i="4"/>
  <c r="N11" i="1"/>
  <c r="BR7" i="4"/>
  <c r="N8" i="1"/>
  <c r="BR6" i="4"/>
  <c r="N7" i="1"/>
  <c r="BR5" i="4"/>
  <c r="N6" i="1"/>
  <c r="BR19" i="4"/>
  <c r="N20" i="1"/>
  <c r="BR16" i="4"/>
  <c r="N17" i="1"/>
  <c r="BR11" i="4"/>
  <c r="N12" i="1"/>
  <c r="BR13" i="4"/>
  <c r="N14" i="1"/>
  <c r="BO21" i="4"/>
  <c r="BR9" i="4"/>
  <c r="N10" i="1"/>
  <c r="BM21" i="4"/>
  <c r="BR17" i="4"/>
  <c r="N18" i="1"/>
  <c r="BR15" i="4"/>
  <c r="N16" i="1"/>
  <c r="BK21" i="4"/>
  <c r="BQ21" i="4"/>
  <c r="BR21" i="4"/>
  <c r="P7" i="3"/>
  <c r="P8" i="3"/>
  <c r="P9" i="3"/>
  <c r="P10" i="3"/>
  <c r="P11" i="3"/>
  <c r="P12" i="3"/>
  <c r="P13" i="3"/>
  <c r="P14" i="3"/>
  <c r="P15" i="3"/>
  <c r="P16" i="3"/>
  <c r="P22" i="3"/>
  <c r="P23" i="3"/>
  <c r="P24" i="3"/>
  <c r="P25" i="3"/>
  <c r="P26" i="3"/>
  <c r="P27" i="3"/>
  <c r="P28" i="3"/>
  <c r="P29" i="3"/>
  <c r="P30" i="3"/>
  <c r="P31" i="3"/>
  <c r="P32"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74" i="3"/>
  <c r="P75" i="3"/>
  <c r="P76" i="3"/>
  <c r="P77" i="3"/>
  <c r="P78" i="3"/>
  <c r="P79" i="3"/>
  <c r="P80" i="3"/>
  <c r="P81" i="3"/>
  <c r="P82" i="3"/>
  <c r="P83" i="3"/>
  <c r="P84" i="3"/>
  <c r="P85" i="3"/>
  <c r="P92" i="3"/>
  <c r="P93" i="3"/>
  <c r="P94" i="3"/>
  <c r="P95" i="3"/>
  <c r="P96" i="3"/>
  <c r="P97" i="3"/>
  <c r="P98" i="3"/>
  <c r="P99" i="3"/>
  <c r="P100" i="3"/>
  <c r="P101" i="3"/>
  <c r="P102"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50" i="3"/>
  <c r="P151" i="3"/>
  <c r="P152" i="3"/>
  <c r="P153" i="3"/>
  <c r="P154" i="3"/>
  <c r="P155" i="3"/>
  <c r="P161" i="3"/>
  <c r="P162" i="3"/>
  <c r="P163" i="3"/>
  <c r="P164" i="3"/>
  <c r="P165" i="3"/>
  <c r="P166" i="3"/>
  <c r="P167" i="3"/>
  <c r="P173" i="3"/>
  <c r="P174" i="3"/>
  <c r="P175" i="3"/>
  <c r="P176" i="3"/>
  <c r="P177" i="3"/>
  <c r="P178" i="3"/>
  <c r="P179" i="3"/>
  <c r="P180" i="3"/>
  <c r="P181"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Q192" i="3"/>
  <c r="Q193" i="3"/>
  <c r="Q194" i="3"/>
  <c r="Q195" i="3"/>
  <c r="Q196" i="3"/>
  <c r="Q197" i="3"/>
  <c r="Q198" i="3"/>
  <c r="Q199" i="3"/>
  <c r="Q200" i="3"/>
  <c r="Q201" i="3"/>
  <c r="Q202" i="3"/>
  <c r="Q203" i="3"/>
  <c r="Q204" i="3"/>
  <c r="Q205" i="3"/>
  <c r="Q206" i="3"/>
  <c r="Q207" i="3"/>
  <c r="Q208" i="3"/>
  <c r="Q209" i="3"/>
  <c r="Q210" i="3"/>
  <c r="Q211" i="3"/>
  <c r="Q212" i="3"/>
  <c r="Q213" i="3"/>
  <c r="Q214" i="3"/>
  <c r="Q215" i="3"/>
  <c r="Q191" i="3"/>
  <c r="Q190" i="3"/>
  <c r="C3" i="4"/>
  <c r="C4" i="4"/>
  <c r="C6" i="4"/>
  <c r="C8" i="4"/>
  <c r="C9" i="4"/>
  <c r="C10" i="4"/>
  <c r="C11" i="4"/>
  <c r="C12" i="4"/>
  <c r="C14" i="4"/>
  <c r="C15" i="4"/>
  <c r="C17" i="4"/>
  <c r="C18" i="4"/>
  <c r="C20" i="4"/>
  <c r="C21" i="4"/>
  <c r="C22" i="4"/>
  <c r="C23" i="4"/>
  <c r="C24" i="4"/>
  <c r="C26" i="4"/>
  <c r="C28" i="4"/>
  <c r="C30" i="4"/>
  <c r="C32" i="4"/>
  <c r="T25" i="1"/>
  <c r="BG6" i="1"/>
  <c r="BG7" i="1"/>
  <c r="BG8" i="1"/>
  <c r="BG9" i="1"/>
  <c r="BG10" i="1"/>
  <c r="BG11" i="1"/>
  <c r="BG12" i="1"/>
  <c r="BG13" i="1"/>
  <c r="BG14" i="1"/>
  <c r="BG15" i="1"/>
  <c r="BG16" i="1"/>
  <c r="BG17" i="1"/>
  <c r="BG18" i="1"/>
  <c r="BG19" i="1"/>
  <c r="BG20" i="1"/>
  <c r="BF6" i="1"/>
  <c r="BF7" i="1"/>
  <c r="BF8" i="1"/>
  <c r="BF9" i="1"/>
  <c r="BF10" i="1"/>
  <c r="BF11" i="1"/>
  <c r="BF12" i="1"/>
  <c r="BF13" i="1"/>
  <c r="BF14" i="1"/>
  <c r="BF15" i="1"/>
  <c r="BF16" i="1"/>
  <c r="BF17" i="1"/>
  <c r="BF18" i="1"/>
  <c r="BF19" i="1"/>
  <c r="BF20" i="1"/>
  <c r="BE6" i="1"/>
  <c r="BE7" i="1"/>
  <c r="BE8" i="1"/>
  <c r="BE9" i="1"/>
  <c r="BE10" i="1"/>
  <c r="BE11" i="1"/>
  <c r="BE12" i="1"/>
  <c r="BE13" i="1"/>
  <c r="BE14" i="1"/>
  <c r="BE15" i="1"/>
  <c r="BE16" i="1"/>
  <c r="BE17" i="1"/>
  <c r="BE18" i="1"/>
  <c r="BE19" i="1"/>
  <c r="BE20" i="1"/>
  <c r="BD6" i="1"/>
  <c r="BD7" i="1"/>
  <c r="BD8" i="1"/>
  <c r="BD9" i="1"/>
  <c r="BD10" i="1"/>
  <c r="BD11" i="1"/>
  <c r="BD12" i="1"/>
  <c r="BD13" i="1"/>
  <c r="BD14" i="1"/>
  <c r="BD15" i="1"/>
  <c r="BD16" i="1"/>
  <c r="BD17" i="1"/>
  <c r="BD18" i="1"/>
  <c r="BD19" i="1"/>
  <c r="BD20" i="1"/>
  <c r="BC20" i="1"/>
  <c r="BC18" i="1"/>
  <c r="BC19" i="1"/>
  <c r="BC15" i="1"/>
  <c r="BC16" i="1"/>
  <c r="BC17" i="1"/>
  <c r="BC6" i="1"/>
  <c r="BC7" i="1"/>
  <c r="BC8" i="1"/>
  <c r="BC9" i="1"/>
  <c r="BC10" i="1"/>
  <c r="BC11" i="1"/>
  <c r="BC12" i="1"/>
  <c r="BC13" i="1"/>
  <c r="BC14" i="1"/>
  <c r="BG5" i="1"/>
  <c r="BF5" i="1"/>
  <c r="BE5" i="1"/>
  <c r="BD5" i="1"/>
  <c r="BC5" i="1"/>
  <c r="E3" i="4"/>
  <c r="E4" i="4"/>
  <c r="E6" i="4"/>
  <c r="E8" i="4"/>
  <c r="E9" i="4"/>
  <c r="E10" i="4"/>
  <c r="E11" i="4"/>
  <c r="E12" i="4"/>
  <c r="E14" i="4"/>
  <c r="E15" i="4"/>
  <c r="E17" i="4"/>
  <c r="E18" i="4"/>
  <c r="E20" i="4"/>
  <c r="E21" i="4"/>
  <c r="E22" i="4"/>
  <c r="E23" i="4"/>
  <c r="E24" i="4"/>
  <c r="E26" i="4"/>
  <c r="E28" i="4"/>
  <c r="E30" i="4"/>
  <c r="E32" i="4"/>
  <c r="Y6" i="1"/>
  <c r="Z6" i="1"/>
  <c r="Y7" i="1"/>
  <c r="Z7" i="1"/>
  <c r="Y8" i="1"/>
  <c r="Z8" i="1"/>
  <c r="Y9" i="1"/>
  <c r="Z9" i="1"/>
  <c r="Y10" i="1"/>
  <c r="Z10" i="1"/>
  <c r="Y11" i="1"/>
  <c r="Z11" i="1"/>
  <c r="Y12" i="1"/>
  <c r="Z12" i="1"/>
  <c r="Y13" i="1"/>
  <c r="Z13" i="1"/>
  <c r="Y14" i="1"/>
  <c r="Z14" i="1"/>
  <c r="Y15" i="1"/>
  <c r="Z15" i="1"/>
  <c r="Y16" i="1"/>
  <c r="Z16" i="1"/>
  <c r="Y17" i="1"/>
  <c r="Z17" i="1"/>
  <c r="Y18" i="1"/>
  <c r="Z18" i="1"/>
  <c r="Y19" i="1"/>
  <c r="Z19" i="1"/>
  <c r="Y20" i="1"/>
  <c r="Z20" i="1"/>
  <c r="H6" i="1"/>
  <c r="H7" i="1"/>
  <c r="H8" i="1"/>
  <c r="H9" i="1"/>
  <c r="H10" i="1"/>
  <c r="H11" i="1"/>
  <c r="H12" i="1"/>
  <c r="H13" i="1"/>
  <c r="H14" i="1"/>
  <c r="H15" i="1"/>
  <c r="H16" i="1"/>
  <c r="H17" i="1"/>
  <c r="H18" i="1"/>
  <c r="H19" i="1"/>
  <c r="H20" i="1"/>
  <c r="D6" i="1"/>
  <c r="D7" i="1"/>
  <c r="D8" i="1"/>
  <c r="D9" i="1"/>
  <c r="D10" i="1"/>
  <c r="D11" i="1"/>
  <c r="D12" i="1"/>
  <c r="D13" i="1"/>
  <c r="D14" i="1"/>
  <c r="D15" i="1"/>
  <c r="D16" i="1"/>
  <c r="D17" i="1"/>
  <c r="D18" i="1"/>
  <c r="D19" i="1"/>
  <c r="D20" i="1"/>
  <c r="H5" i="1"/>
  <c r="D5" i="1"/>
  <c r="N21" i="1"/>
  <c r="AA25" i="1"/>
  <c r="X25" i="1"/>
  <c r="H31" i="1"/>
  <c r="D32" i="1"/>
  <c r="D31" i="1"/>
  <c r="H32" i="1"/>
  <c r="H29" i="1"/>
  <c r="H30" i="1"/>
  <c r="D29" i="1"/>
  <c r="D30" i="1"/>
  <c r="D28" i="1"/>
  <c r="H28" i="1"/>
  <c r="H23" i="1"/>
  <c r="H24" i="1"/>
  <c r="H25" i="1"/>
  <c r="H26" i="1"/>
  <c r="D23" i="1"/>
  <c r="D24" i="1"/>
  <c r="D25" i="1"/>
  <c r="D26" i="1"/>
  <c r="D22" i="1"/>
  <c r="Q7" i="3"/>
  <c r="O11" i="1"/>
  <c r="H22" i="1"/>
  <c r="O6" i="1"/>
  <c r="O7" i="1"/>
  <c r="O8" i="1"/>
  <c r="O9" i="1"/>
  <c r="O10" i="1"/>
  <c r="O12" i="1"/>
  <c r="O13" i="1"/>
  <c r="O14" i="1"/>
  <c r="O15" i="1"/>
  <c r="O16" i="1"/>
  <c r="O17" i="1"/>
  <c r="O18" i="1"/>
  <c r="O19" i="1"/>
  <c r="O20" i="1"/>
  <c r="B21" i="1"/>
  <c r="Q8" i="3"/>
  <c r="Q9" i="3"/>
  <c r="Q10" i="3"/>
  <c r="Q11" i="3"/>
  <c r="Q12" i="3"/>
  <c r="Q13" i="3"/>
  <c r="Q14" i="3"/>
  <c r="Q15" i="3"/>
  <c r="Q16" i="3"/>
  <c r="Q22" i="3"/>
  <c r="Q23" i="3"/>
  <c r="Q24" i="3"/>
  <c r="Q25" i="3"/>
  <c r="Q26" i="3"/>
  <c r="Q27" i="3"/>
  <c r="Q28" i="3"/>
  <c r="Q29" i="3"/>
  <c r="Q30" i="3"/>
  <c r="Q31" i="3"/>
  <c r="Q32" i="3"/>
  <c r="Q38"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74" i="3"/>
  <c r="Q75" i="3"/>
  <c r="Q76" i="3"/>
  <c r="Q77" i="3"/>
  <c r="Q78" i="3"/>
  <c r="Q79" i="3"/>
  <c r="Q80" i="3"/>
  <c r="Q81" i="3"/>
  <c r="Q82" i="3"/>
  <c r="Q83" i="3"/>
  <c r="Q84" i="3"/>
  <c r="Q85" i="3"/>
  <c r="Q86" i="3"/>
  <c r="Q92" i="3"/>
  <c r="Q93" i="3"/>
  <c r="Q94" i="3"/>
  <c r="Q95" i="3"/>
  <c r="Q96" i="3"/>
  <c r="Q97" i="3"/>
  <c r="Q98" i="3"/>
  <c r="Q99" i="3"/>
  <c r="Q100" i="3"/>
  <c r="Q101" i="3"/>
  <c r="Q102"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50" i="3"/>
  <c r="Q151" i="3"/>
  <c r="Q152" i="3"/>
  <c r="Q153" i="3"/>
  <c r="Q154" i="3"/>
  <c r="Q155" i="3"/>
  <c r="Q161" i="3"/>
  <c r="Q162" i="3"/>
  <c r="Q163" i="3"/>
  <c r="Q164" i="3"/>
  <c r="Q165" i="3"/>
  <c r="Q166" i="3"/>
  <c r="Q167" i="3"/>
  <c r="Q173" i="3"/>
  <c r="Q174" i="3"/>
  <c r="Q175" i="3"/>
  <c r="Q176" i="3"/>
  <c r="Q177" i="3"/>
  <c r="Q178" i="3"/>
  <c r="Q179" i="3"/>
  <c r="Q180" i="3"/>
  <c r="Q181" i="3"/>
  <c r="Q185" i="3"/>
  <c r="Q186" i="3"/>
  <c r="Q187" i="3"/>
  <c r="Q188" i="3"/>
  <c r="Q189" i="3"/>
  <c r="Q39" i="3"/>
  <c r="B22" i="1"/>
  <c r="E22" i="1"/>
  <c r="F22" i="1"/>
  <c r="G22" i="1"/>
  <c r="B32" i="1"/>
  <c r="B28" i="1"/>
  <c r="B31" i="1"/>
  <c r="B29" i="1"/>
  <c r="B30" i="1"/>
  <c r="G32" i="1"/>
  <c r="G28" i="1"/>
  <c r="F27" i="1"/>
  <c r="G31" i="1"/>
  <c r="G27" i="1"/>
  <c r="B27" i="1"/>
  <c r="F25" i="1"/>
  <c r="G30" i="1"/>
  <c r="G26" i="1"/>
  <c r="B26" i="1"/>
  <c r="G29" i="1"/>
  <c r="G25" i="1"/>
  <c r="B25" i="1"/>
  <c r="E27" i="1"/>
  <c r="E25" i="1"/>
  <c r="E23" i="1"/>
  <c r="E31" i="1"/>
  <c r="E24" i="1"/>
  <c r="E28" i="1"/>
  <c r="E32" i="1"/>
  <c r="E26" i="1"/>
  <c r="E30" i="1"/>
  <c r="E29" i="1"/>
  <c r="F32" i="1"/>
  <c r="F28" i="1"/>
  <c r="F29" i="1"/>
  <c r="F30" i="1"/>
  <c r="F31" i="1"/>
  <c r="G23" i="1"/>
  <c r="G24" i="1"/>
  <c r="B23" i="1"/>
  <c r="B24" i="1"/>
  <c r="F23" i="1"/>
  <c r="F24" i="1"/>
  <c r="F26" i="1"/>
  <c r="D27" i="1"/>
  <c r="H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Tommaso D'ulivo</author>
  </authors>
  <commentList>
    <comment ref="T3" authorId="0" shapeId="0" xr:uid="{445E56ED-67DF-403E-B9D2-AB39200A453E}">
      <text>
        <r>
          <rPr>
            <b/>
            <sz val="9"/>
            <color indexed="81"/>
            <rFont val="Tahoma"/>
            <family val="2"/>
          </rPr>
          <t>Deflection:</t>
        </r>
        <r>
          <rPr>
            <sz val="9"/>
            <color indexed="81"/>
            <rFont val="Tahoma"/>
            <family val="2"/>
          </rPr>
          <t xml:space="preserve">
to mark each time it is performed</t>
        </r>
      </text>
    </comment>
    <comment ref="U3" authorId="0" shapeId="0" xr:uid="{785476E8-F650-4209-BCE9-4FF2E2048384}">
      <text>
        <r>
          <rPr>
            <b/>
            <sz val="9"/>
            <color indexed="81"/>
            <rFont val="Tahoma"/>
            <family val="2"/>
          </rPr>
          <t>Interception:</t>
        </r>
        <r>
          <rPr>
            <sz val="9"/>
            <color indexed="81"/>
            <rFont val="Tahoma"/>
            <family val="2"/>
          </rPr>
          <t xml:space="preserve">
if the deflection is transformed into an interception, check this box as well</t>
        </r>
      </text>
    </comment>
    <comment ref="AA3" authorId="0" shapeId="0" xr:uid="{A884D59B-457E-402A-9336-4D918FFA8DA2}">
      <text>
        <r>
          <rPr>
            <b/>
            <sz val="9"/>
            <color indexed="81"/>
            <rFont val="Tahoma"/>
            <family val="2"/>
          </rPr>
          <t xml:space="preserve">Mod Spp:
</t>
        </r>
        <r>
          <rPr>
            <sz val="9"/>
            <color indexed="81"/>
            <rFont val="Tahoma"/>
            <family val="2"/>
          </rPr>
          <t>+1 each time you choose an ability boost for the player but don't use it</t>
        </r>
      </text>
    </comment>
    <comment ref="AJ3" authorId="0" shapeId="0" xr:uid="{D98986E5-394B-4572-938B-26C8EE168D8A}">
      <text>
        <r>
          <rPr>
            <b/>
            <sz val="9"/>
            <color indexed="81"/>
            <rFont val="Tahoma"/>
            <family val="2"/>
          </rPr>
          <t xml:space="preserve">Random skills:
</t>
        </r>
        <r>
          <rPr>
            <sz val="9"/>
            <color indexed="81"/>
            <rFont val="Tahoma"/>
            <family val="2"/>
          </rPr>
          <t xml:space="preserve">the skills marked with ® are the random ones and modify spp and player value accordingly
</t>
        </r>
      </text>
    </comment>
    <comment ref="AP3" authorId="0" shapeId="0" xr:uid="{6DA8079C-6C89-437C-B760-8F438ADEA492}">
      <text>
        <r>
          <rPr>
            <sz val="9"/>
            <color indexed="81"/>
            <rFont val="Tahoma"/>
            <family val="2"/>
          </rPr>
          <t xml:space="preserve">it does not modify neither the player value nor spp
</t>
        </r>
      </text>
    </comment>
  </commentList>
</comments>
</file>

<file path=xl/sharedStrings.xml><?xml version="1.0" encoding="utf-8"?>
<sst xmlns="http://schemas.openxmlformats.org/spreadsheetml/2006/main" count="20554" uniqueCount="792">
  <si>
    <t>#</t>
  </si>
  <si>
    <t>Ma</t>
  </si>
  <si>
    <t>St</t>
  </si>
  <si>
    <t>Ag</t>
  </si>
  <si>
    <t>Pa</t>
  </si>
  <si>
    <t>Av</t>
  </si>
  <si>
    <t>Pass</t>
  </si>
  <si>
    <t>TTM</t>
  </si>
  <si>
    <t>Int</t>
  </si>
  <si>
    <t>Def</t>
  </si>
  <si>
    <t>TD</t>
  </si>
  <si>
    <t>Cas</t>
  </si>
  <si>
    <t>MVP</t>
  </si>
  <si>
    <t>Spp Tot</t>
  </si>
  <si>
    <t>Spp</t>
  </si>
  <si>
    <t>Value</t>
  </si>
  <si>
    <t>Extra Spp</t>
  </si>
  <si>
    <t>Dwarf</t>
  </si>
  <si>
    <t>Halfling Catcher</t>
  </si>
  <si>
    <t>Goblin</t>
  </si>
  <si>
    <t>Halfling</t>
  </si>
  <si>
    <t>Human</t>
  </si>
  <si>
    <t>Minotaur</t>
  </si>
  <si>
    <t>Nurgle</t>
  </si>
  <si>
    <t>Ogre</t>
  </si>
  <si>
    <t>Orc</t>
  </si>
  <si>
    <t>Skaven</t>
  </si>
  <si>
    <t>Snotling</t>
  </si>
  <si>
    <t>Race</t>
  </si>
  <si>
    <t>Cost</t>
  </si>
  <si>
    <t>MA</t>
  </si>
  <si>
    <t>ST</t>
  </si>
  <si>
    <t>AG</t>
  </si>
  <si>
    <t>PA</t>
  </si>
  <si>
    <t>AV</t>
  </si>
  <si>
    <t>Black Orc</t>
  </si>
  <si>
    <t>3+</t>
  </si>
  <si>
    <t>4+</t>
  </si>
  <si>
    <t>8+</t>
  </si>
  <si>
    <t>Dodge, Right Stuff, Stunty, Thick Skull</t>
  </si>
  <si>
    <t>5+</t>
  </si>
  <si>
    <t>10+</t>
  </si>
  <si>
    <t>Brawler, Grab</t>
  </si>
  <si>
    <t>Trained Troll</t>
  </si>
  <si>
    <t>Always Hungry, Loner (3+), Mighty Blow (+1), Projectile Vomit, Really Stupid, Regeneration, Throw Team Mate</t>
  </si>
  <si>
    <t>Loner (4+), Dodge, Right Stuff, Stunty, Thick Skull</t>
  </si>
  <si>
    <t>9+</t>
  </si>
  <si>
    <t>Horns</t>
  </si>
  <si>
    <t>Chosen Blocker</t>
  </si>
  <si>
    <t>Chaos Troll</t>
  </si>
  <si>
    <t>Always Hungry, Loner (4+), Mighty Blow (+1), Projectile Vomit, Really Stupid, Regeneration, Throw Team Mate</t>
  </si>
  <si>
    <t>Chaos Ogre</t>
  </si>
  <si>
    <t>Bone Head, Loner (4+), Mighty Blow (+1), Thick Skull, Throw Team Mate</t>
  </si>
  <si>
    <t>-</t>
  </si>
  <si>
    <t>Loner (4+), Horns</t>
  </si>
  <si>
    <t>Renegade Human Thrower</t>
  </si>
  <si>
    <t>Renegade Goblin</t>
  </si>
  <si>
    <t>Renegade Orc</t>
  </si>
  <si>
    <t>Renegade Dark Elf</t>
  </si>
  <si>
    <t>2+</t>
  </si>
  <si>
    <t>Renegade Troll</t>
  </si>
  <si>
    <t>Renegade Ogre</t>
  </si>
  <si>
    <t>Renegade Minotaur</t>
  </si>
  <si>
    <t>Renegade Rat Ogre</t>
  </si>
  <si>
    <t>Animal Savagery, Frenzy, Loner (4+), Mighty Blow (+1), Prehensile Tail</t>
  </si>
  <si>
    <t>Loner (4+)</t>
  </si>
  <si>
    <t>Dark Elf Lineman</t>
  </si>
  <si>
    <t>Dark Elf Runner</t>
  </si>
  <si>
    <t>Dump-Off</t>
  </si>
  <si>
    <t>Dark Elf Blitzer</t>
  </si>
  <si>
    <t>Block</t>
  </si>
  <si>
    <t>Shadowing, Stab</t>
  </si>
  <si>
    <t>Witch Elf</t>
  </si>
  <si>
    <t>Dodge, Frenzy, Jump Up</t>
  </si>
  <si>
    <t>Block, Tackle, Thick Skull</t>
  </si>
  <si>
    <t>Dwarf Runner</t>
  </si>
  <si>
    <t>Sure Hand, Thick Skull</t>
  </si>
  <si>
    <t>Dwarf Blitzer</t>
  </si>
  <si>
    <t>Block, Thick Skull</t>
  </si>
  <si>
    <t>Troll Slayer</t>
  </si>
  <si>
    <t>Block, Dauntless, Frenzy, Thick Skull</t>
  </si>
  <si>
    <t>DeathRoller</t>
  </si>
  <si>
    <t>11+</t>
  </si>
  <si>
    <t>Break Tackle, Dirty Player (+2), Juggernaut, Loner (5+), Mighty Blow (+1), No Hands, Secret Weapon, Stand Firm</t>
  </si>
  <si>
    <t>Elven Union Thrower</t>
  </si>
  <si>
    <t>Elven Union Catcher</t>
  </si>
  <si>
    <t>Catch, Nerves of Steel</t>
  </si>
  <si>
    <t>Elven Union Blitzer</t>
  </si>
  <si>
    <t>Block, Side Step</t>
  </si>
  <si>
    <t>Bomma</t>
  </si>
  <si>
    <t>Looney</t>
  </si>
  <si>
    <t>Fanatic</t>
  </si>
  <si>
    <t>Pogoer</t>
  </si>
  <si>
    <t>Ooligan</t>
  </si>
  <si>
    <t>Doom Diver</t>
  </si>
  <si>
    <t>Dodge, Right Stuff, Stunty</t>
  </si>
  <si>
    <t>6+</t>
  </si>
  <si>
    <t>Bombardier, Dodge, Secret Weapon, Stunty</t>
  </si>
  <si>
    <t>Chainsaw, Secret Weapon, Stunty</t>
  </si>
  <si>
    <t>Ball &amp; Chain, No Hands, Secret Weapon, Stunty</t>
  </si>
  <si>
    <t>Dodge, Pogo Stick, Stunty</t>
  </si>
  <si>
    <t>Dirty Player (+1), Disturbing Presence, Dodge, Right Stuff, Stunty</t>
  </si>
  <si>
    <t>Right Stuff, Stunty, Swoop</t>
  </si>
  <si>
    <t>7+</t>
  </si>
  <si>
    <t>Dodge, Fend, Stunty</t>
  </si>
  <si>
    <t>Catch, Dodge, Right Stuff, Sprint, Stunty</t>
  </si>
  <si>
    <t>Dodge, Loner (4+), Right Stuff, Stunty</t>
  </si>
  <si>
    <t>Mighty Blow (+1), Stand Firm, Strong Arm, Take Root, Thick Skull, Throw Team Mate, Timmm-ber!</t>
  </si>
  <si>
    <t>Human Lineman</t>
  </si>
  <si>
    <t>Human Thrower</t>
  </si>
  <si>
    <t>Human Catcher</t>
  </si>
  <si>
    <t>Human Blitzer</t>
  </si>
  <si>
    <t>Halfling Hopeful</t>
  </si>
  <si>
    <t>Pass, Sure Hands</t>
  </si>
  <si>
    <t>Catch, Dodge</t>
  </si>
  <si>
    <t>Imperial Thrower</t>
  </si>
  <si>
    <t>Noble Blitzer</t>
  </si>
  <si>
    <t>Fend</t>
  </si>
  <si>
    <t>Pass, Running Pass</t>
  </si>
  <si>
    <t>Block, Catch</t>
  </si>
  <si>
    <t>Fend, Loner (4+)</t>
  </si>
  <si>
    <t>Lizardmen</t>
  </si>
  <si>
    <t>Chameleon Skink</t>
  </si>
  <si>
    <t>Saurus Blocker</t>
  </si>
  <si>
    <t>Kroxigor</t>
  </si>
  <si>
    <t>Dodge, Stunty</t>
  </si>
  <si>
    <t>Dodge, On the Ball, Shadowing, Stunty</t>
  </si>
  <si>
    <t>Bone Head, Loner (4+), Mighty Blow (+1), Prehensile Tale, Thick Skull,</t>
  </si>
  <si>
    <t>Dodge, Loner (4+), Stunty</t>
  </si>
  <si>
    <t>Max</t>
  </si>
  <si>
    <t>Ghoul Runner</t>
  </si>
  <si>
    <t>Wraith</t>
  </si>
  <si>
    <t>Werewolf</t>
  </si>
  <si>
    <t>Regeneration</t>
  </si>
  <si>
    <t>Dodge</t>
  </si>
  <si>
    <t>Block, Foul Appearence, No Hands, Regeneration, Side Step</t>
  </si>
  <si>
    <t>Claw, Frenzy, Regeneration</t>
  </si>
  <si>
    <t>Regeneration, Stand Firm, Thick Skull</t>
  </si>
  <si>
    <t>Loner (4+), Regeneration</t>
  </si>
  <si>
    <t>Pestigor</t>
  </si>
  <si>
    <t>Bloater</t>
  </si>
  <si>
    <t>Rotspawn</t>
  </si>
  <si>
    <t>Decay, Plague Ridden</t>
  </si>
  <si>
    <t>Horns, Plague Ridden, Regeneration</t>
  </si>
  <si>
    <t>Disturbing Presence, Foul Appearence, Plague Ridden, Regeneration</t>
  </si>
  <si>
    <t>Disturbing Presence, Foul Appearence, Loner (4+), Mighty Blow (+1), Plague Ridden, Really Stupid, Regeneration, Tentacles</t>
  </si>
  <si>
    <t>Decay, Loner (4+), Plague Ridden</t>
  </si>
  <si>
    <t>Ogre Runt Punter</t>
  </si>
  <si>
    <t>Ogre Blocker</t>
  </si>
  <si>
    <t>Dodge, Right Stuff, Side Step, Stunty, Titchy</t>
  </si>
  <si>
    <t>Bone Head, Mighty Blow (+1), Thick Skull, Throw Team Mate</t>
  </si>
  <si>
    <t>Bone Head, Kick Team Mate, Mighty Blow (+1), Thick Skull</t>
  </si>
  <si>
    <t>Old World Human Lineman</t>
  </si>
  <si>
    <t>Old World Human Thrower</t>
  </si>
  <si>
    <t>Old World Human Catcher</t>
  </si>
  <si>
    <t>Old World Human Blitzer</t>
  </si>
  <si>
    <t>Animosity (all Dwarf and Halfling Team Mates), Pass, Sure Hands</t>
  </si>
  <si>
    <t>Animosity (all Dwarf and Halfling Team Mates), Catch, Dodge</t>
  </si>
  <si>
    <t>Animosity (all Dwarf and Halfling Team Mates), Block</t>
  </si>
  <si>
    <t>Old World Dwarf Blocker</t>
  </si>
  <si>
    <t>Old World Dwarf Runner</t>
  </si>
  <si>
    <t>Old World Dwarf Blitzer</t>
  </si>
  <si>
    <t>Old World Troll Slayer</t>
  </si>
  <si>
    <t>Old World Halfling Hopeful</t>
  </si>
  <si>
    <t>Loner (4+), Mighty Blow (+1), Stand Firm, Strong Arm, Take Root, Thick Skull, Throw Team Mate, Timmm-ber!</t>
  </si>
  <si>
    <t>Arm Bar, Brawler, Loner (3+), Thick Skull</t>
  </si>
  <si>
    <t>Loner (3+), Sure Hand, Thick Skull</t>
  </si>
  <si>
    <t>Block, Dauntless, Frenzy, Loner (3+), Thick Skull</t>
  </si>
  <si>
    <t>Animosity (all Dwarf and Human Team Mates), Dodge, Right Stuff, Stunty</t>
  </si>
  <si>
    <t>Orc Thrower</t>
  </si>
  <si>
    <t>Orc Blitzer</t>
  </si>
  <si>
    <t>Untrained Troll</t>
  </si>
  <si>
    <t>Animosity (Orc Linemen)</t>
  </si>
  <si>
    <t>Animosity (all Team Mates), Pass, Sure Hands</t>
  </si>
  <si>
    <t>Animosity (all Team Mates), Block</t>
  </si>
  <si>
    <t>Animosity (Orc Linemen), Loner (4+)</t>
  </si>
  <si>
    <t>Player</t>
  </si>
  <si>
    <t>Wight Blitzer</t>
  </si>
  <si>
    <t>Mummy</t>
  </si>
  <si>
    <t>Regeneration, Thick Skull</t>
  </si>
  <si>
    <t>Regeneration, Block</t>
  </si>
  <si>
    <t>Mighty Blow (+1), Regeneration</t>
  </si>
  <si>
    <t>Skaven Thrower</t>
  </si>
  <si>
    <t>Skaven Blitzer</t>
  </si>
  <si>
    <t>Gutter Runner</t>
  </si>
  <si>
    <t>RatOgre</t>
  </si>
  <si>
    <t>Pump Wagon</t>
  </si>
  <si>
    <t>Dodge, Right Stuff, Side Step, Stunty, Swarming, Titchy</t>
  </si>
  <si>
    <t>Bombardier, Dodge, Right Stuff, Secret Weapon, Side Step, Stunty</t>
  </si>
  <si>
    <t>Dodge, Pogo Stick, Right Stuff, Side Step, Stunty</t>
  </si>
  <si>
    <t>Dodge, Right Stuff, Side Step, Sprint, Stunty</t>
  </si>
  <si>
    <t>Dirty Player (+1), Juggernaut, Mighty Blow (+1), Really Stupid, Secret Weapon, Stand Firm</t>
  </si>
  <si>
    <t>Alweys Hungry, Loner (3+), Mighty Blow (+1), Projectile Vomit, Really Stupid, Regenerate, Throw Team Mate</t>
  </si>
  <si>
    <t>Underworld Snotling</t>
  </si>
  <si>
    <t>Skaven Clanrat</t>
  </si>
  <si>
    <t>Underworld Troll</t>
  </si>
  <si>
    <t>Mutant RatOgre</t>
  </si>
  <si>
    <t>Dodge, Loner (4+), Right Stuff, Side Step, Stunty, Swarming, Titchy</t>
  </si>
  <si>
    <t>Animosity (Underworld Goblin Linemen)</t>
  </si>
  <si>
    <t>Animosity (Underworld Goblin Linemen), Pass, Sure Hands</t>
  </si>
  <si>
    <t>Animosity (Underworld Goblin Linemen), Block</t>
  </si>
  <si>
    <t>Animosity (Underworld Goblin Linemen), Dodge</t>
  </si>
  <si>
    <t>Wood Elf Thrower</t>
  </si>
  <si>
    <t>Wood Elf Catcher</t>
  </si>
  <si>
    <t>Wardancer</t>
  </si>
  <si>
    <t>Loren Forest Treeman</t>
  </si>
  <si>
    <t>Block, Dodge, Leap</t>
  </si>
  <si>
    <t>Loner (4+), Mighty Blow (+1), Stand Firm, Strong Arm, Take Root, Thick Skull, Throw Team Mate</t>
  </si>
  <si>
    <t>General</t>
  </si>
  <si>
    <t>Agility</t>
  </si>
  <si>
    <t>Strength</t>
  </si>
  <si>
    <t>Passing</t>
  </si>
  <si>
    <t>Mutation</t>
  </si>
  <si>
    <t>Singles</t>
  </si>
  <si>
    <t>Doubles</t>
  </si>
  <si>
    <t>Team ReRoll Cost</t>
  </si>
  <si>
    <t>Positions</t>
  </si>
  <si>
    <t>Apothecary</t>
  </si>
  <si>
    <t>N</t>
  </si>
  <si>
    <t>Y</t>
  </si>
  <si>
    <t>Special Rules</t>
  </si>
  <si>
    <t>Starting Skills</t>
  </si>
  <si>
    <t>Name</t>
  </si>
  <si>
    <t>Type</t>
  </si>
  <si>
    <t>Catch</t>
  </si>
  <si>
    <t>Diving Catch</t>
  </si>
  <si>
    <t>Diving Tackle</t>
  </si>
  <si>
    <t>Jump Up</t>
  </si>
  <si>
    <t>Leap</t>
  </si>
  <si>
    <t>Side Step</t>
  </si>
  <si>
    <t>Sprint</t>
  </si>
  <si>
    <t>Sure Feet</t>
  </si>
  <si>
    <t>Dauntless</t>
  </si>
  <si>
    <t>Kick</t>
  </si>
  <si>
    <t>Pro</t>
  </si>
  <si>
    <t>Shadowing</t>
  </si>
  <si>
    <t>Strip Ball</t>
  </si>
  <si>
    <t>Sure Hands</t>
  </si>
  <si>
    <t>Tackle</t>
  </si>
  <si>
    <t>Wrestle</t>
  </si>
  <si>
    <t>Big Hand</t>
  </si>
  <si>
    <t>Claws</t>
  </si>
  <si>
    <t>Extra Arms</t>
  </si>
  <si>
    <t>Prehensile Tail</t>
  </si>
  <si>
    <t>Tentacles</t>
  </si>
  <si>
    <t>Two Heads</t>
  </si>
  <si>
    <t>Very Long Legs</t>
  </si>
  <si>
    <t>Accurate</t>
  </si>
  <si>
    <t>Hail Mary Pass</t>
  </si>
  <si>
    <t>Leader</t>
  </si>
  <si>
    <t>Nerves of Steel</t>
  </si>
  <si>
    <t>Break Tackle</t>
  </si>
  <si>
    <t>Grab</t>
  </si>
  <si>
    <t>Guard</t>
  </si>
  <si>
    <t>Juggernaut</t>
  </si>
  <si>
    <t>Multiple Block</t>
  </si>
  <si>
    <t>Stand Firm</t>
  </si>
  <si>
    <t>Strong Arm</t>
  </si>
  <si>
    <t>Thick Skull</t>
  </si>
  <si>
    <t>Defensive</t>
  </si>
  <si>
    <t>Safe Pair of Hands</t>
  </si>
  <si>
    <t>Sneaky Git</t>
  </si>
  <si>
    <t>Dirty Player (+1)</t>
  </si>
  <si>
    <t>Frenzy*</t>
  </si>
  <si>
    <t>Disturbing Presence*</t>
  </si>
  <si>
    <t>Foul Appearance*</t>
  </si>
  <si>
    <t>Iron Hard Skin</t>
  </si>
  <si>
    <t>Monstrous Mouth</t>
  </si>
  <si>
    <t>Cannoneer</t>
  </si>
  <si>
    <t>Cloud Buster</t>
  </si>
  <si>
    <t>Fumblerooskie</t>
  </si>
  <si>
    <t>On the Ball</t>
  </si>
  <si>
    <t>Running Pass</t>
  </si>
  <si>
    <t>Safe Pass</t>
  </si>
  <si>
    <t>Mighty Blow (+1)</t>
  </si>
  <si>
    <t>Arm Bar</t>
  </si>
  <si>
    <t>Brawler</t>
  </si>
  <si>
    <t>Pile Driver</t>
  </si>
  <si>
    <t>Badlands Brawl</t>
  </si>
  <si>
    <t>Elven Kingdoms League</t>
  </si>
  <si>
    <t>Halfling Thimble Cup</t>
  </si>
  <si>
    <t>Lustrian Superleague</t>
  </si>
  <si>
    <t>Sylvanian Spotlight</t>
  </si>
  <si>
    <t>Old World Classic</t>
  </si>
  <si>
    <t>Underworld Challenge</t>
  </si>
  <si>
    <t>Worlds Edge Superleague</t>
  </si>
  <si>
    <t>Bribery and Corruption</t>
  </si>
  <si>
    <t>Favoured of ….</t>
  </si>
  <si>
    <t>Low Cost Linemen</t>
  </si>
  <si>
    <t>Masters of Undeath</t>
  </si>
  <si>
    <t>Coach</t>
  </si>
  <si>
    <t>Position</t>
  </si>
  <si>
    <t>Normal</t>
  </si>
  <si>
    <t>+MA</t>
  </si>
  <si>
    <t>+ST</t>
  </si>
  <si>
    <t>+AG</t>
  </si>
  <si>
    <t>+PA</t>
  </si>
  <si>
    <t>+AV</t>
  </si>
  <si>
    <t>Upgread</t>
  </si>
  <si>
    <t>Skill 1</t>
  </si>
  <si>
    <t>Skill 2</t>
  </si>
  <si>
    <t>Skill 3</t>
  </si>
  <si>
    <t>Skill 4</t>
  </si>
  <si>
    <t>Skill 5</t>
  </si>
  <si>
    <t>Skill 6</t>
  </si>
  <si>
    <t>Arm Bar ®</t>
  </si>
  <si>
    <t>Brawler ®</t>
  </si>
  <si>
    <t>Break Tackle ®</t>
  </si>
  <si>
    <t>Grab ®</t>
  </si>
  <si>
    <t>Guard ®</t>
  </si>
  <si>
    <t>Mighty Blow (+1) ®</t>
  </si>
  <si>
    <t>Multiple Block ®</t>
  </si>
  <si>
    <t>Pile Driver ®</t>
  </si>
  <si>
    <t>Stand Firm ®</t>
  </si>
  <si>
    <t>Strong Arm ®</t>
  </si>
  <si>
    <t>Thick Skull ®</t>
  </si>
  <si>
    <t>Accurate ®</t>
  </si>
  <si>
    <t>Cannoneer ®</t>
  </si>
  <si>
    <t>Cloud Buster ®</t>
  </si>
  <si>
    <t>Dump-Off ®</t>
  </si>
  <si>
    <t>Fumblerooskie ®</t>
  </si>
  <si>
    <t>Hail Mary Pass ®</t>
  </si>
  <si>
    <t>Leader ®</t>
  </si>
  <si>
    <t>Nerves of Steel ®</t>
  </si>
  <si>
    <t>On the Ball ®</t>
  </si>
  <si>
    <t>Pass ®</t>
  </si>
  <si>
    <t>Running Pass ®</t>
  </si>
  <si>
    <t>Safe Pass ®</t>
  </si>
  <si>
    <t>Big Hand ®</t>
  </si>
  <si>
    <t>Claws ®</t>
  </si>
  <si>
    <t>Disturbing Presence* ®</t>
  </si>
  <si>
    <t>Extra Arms ®</t>
  </si>
  <si>
    <t>Foul Appearance* ®</t>
  </si>
  <si>
    <t>Horns ®</t>
  </si>
  <si>
    <t>Iron Hard Skin ®</t>
  </si>
  <si>
    <t>Monstrous Mouth ®</t>
  </si>
  <si>
    <t>Prehensile Tail ®</t>
  </si>
  <si>
    <t>Tentacles ®</t>
  </si>
  <si>
    <t>Two Heads ®</t>
  </si>
  <si>
    <t>Very Long Legs ®</t>
  </si>
  <si>
    <t>Block ®</t>
  </si>
  <si>
    <t>Dauntless ®</t>
  </si>
  <si>
    <t>Dirty Player (+1) ®</t>
  </si>
  <si>
    <t>Fend ®</t>
  </si>
  <si>
    <t>Frenzy* ®</t>
  </si>
  <si>
    <t>Kick ®</t>
  </si>
  <si>
    <t>Pro ®</t>
  </si>
  <si>
    <t>Shadowing ®</t>
  </si>
  <si>
    <t>Strip Ball ®</t>
  </si>
  <si>
    <t>Sure Hands ®</t>
  </si>
  <si>
    <t>Tackle ®</t>
  </si>
  <si>
    <t>Wrestle ®</t>
  </si>
  <si>
    <t>Catch ®</t>
  </si>
  <si>
    <t>Defensive ®</t>
  </si>
  <si>
    <t>Diving Catch ®</t>
  </si>
  <si>
    <t>Diving Tackle ®</t>
  </si>
  <si>
    <t>Dodge ®</t>
  </si>
  <si>
    <t>Jump Up ®</t>
  </si>
  <si>
    <t>Leap ®</t>
  </si>
  <si>
    <t>Safe Pair of Hands ®</t>
  </si>
  <si>
    <t>Side Step ®</t>
  </si>
  <si>
    <t>Sneaky Git ®</t>
  </si>
  <si>
    <t>Sprint ®</t>
  </si>
  <si>
    <t>Sure Feet ®</t>
  </si>
  <si>
    <t>Agility_R</t>
  </si>
  <si>
    <t>General_R</t>
  </si>
  <si>
    <t>Mutation_R</t>
  </si>
  <si>
    <t>Passing_R</t>
  </si>
  <si>
    <t>Strength_R</t>
  </si>
  <si>
    <t>Mod Spp</t>
  </si>
  <si>
    <t>1+</t>
  </si>
  <si>
    <t>HiddenAG</t>
  </si>
  <si>
    <t>HiddenPA</t>
  </si>
  <si>
    <t>HiddenAV</t>
  </si>
  <si>
    <t>ReRoll</t>
  </si>
  <si>
    <t>x</t>
  </si>
  <si>
    <t>Cheerleader</t>
  </si>
  <si>
    <t>Ass.Coach</t>
  </si>
  <si>
    <t>=</t>
  </si>
  <si>
    <t>Team Name</t>
  </si>
  <si>
    <t>Treasury</t>
  </si>
  <si>
    <t>Team Value</t>
  </si>
  <si>
    <t>000 gp</t>
  </si>
  <si>
    <t>Player Name</t>
  </si>
  <si>
    <t>Title</t>
  </si>
  <si>
    <t>Stats</t>
  </si>
  <si>
    <t>Stats Malus</t>
  </si>
  <si>
    <t>Doble</t>
  </si>
  <si>
    <t>Old World Ogre</t>
  </si>
  <si>
    <t>Black Orc Trained Troll</t>
  </si>
  <si>
    <t>Team Special Rules</t>
  </si>
  <si>
    <t>Hidden AG</t>
  </si>
  <si>
    <t>Hidden PA</t>
  </si>
  <si>
    <t>Hidden AV</t>
  </si>
  <si>
    <t>Star Player</t>
  </si>
  <si>
    <t>Bombardier, Disturbing Presence, Dodge, Loner (3+), Side Step, Sneaky Git, Stab, Stunty</t>
  </si>
  <si>
    <t>Catch, Dodge, Hypnotize Gaze, Loner (4+), Nerves of Steel, On the Ball</t>
  </si>
  <si>
    <t>Block, Claw, Grab, Juggernaut, Loner (4+), Stand Firm</t>
  </si>
  <si>
    <t>Accurate, Dodge, Loner (3+), Pass, Side Step, Sure Hands</t>
  </si>
  <si>
    <t>Bone Head, Kick Team Mate, Loner (4+), Mighty Blow (+1), Thick Skull</t>
  </si>
  <si>
    <t>Block, Loner (4+), Mighty Blow (+2), Stand Firm, Strong Arm, Thick Skull, Throw Team Mate, Timmm-ber!</t>
  </si>
  <si>
    <t>Dodge, Loner (4+), Right Stuff, Stunty, Sure Hands</t>
  </si>
  <si>
    <t>Disturbing Presence, Dodge, Foul Appearance, Jump Up, Loner (4+), No Hands, Regeneration, Shadowing, Side Step</t>
  </si>
  <si>
    <t>Block, Dodge, Fend, Loner (3+), Sprint, Sure Feet</t>
  </si>
  <si>
    <t>Block, Dauntless, Frenzy, Loner (4+), Multiple Block, Thick Skull</t>
  </si>
  <si>
    <t>Dedicated Fans</t>
  </si>
  <si>
    <t>Upgrades</t>
  </si>
  <si>
    <t>Dodge, Extra Arms, Loner (4+), Prehensile Tail, Two Heads</t>
  </si>
  <si>
    <t>Chainsaw, Loner (4+), Pro, Secret Weapon, Stand Firm</t>
  </si>
  <si>
    <t>Block, Dauntless, Dodge, Jump Up, Loner (4+)</t>
  </si>
  <si>
    <t>Block, Dirty Player (+2), Loner (4+), Mighty Blow (+1), Sneaky Git</t>
  </si>
  <si>
    <t>Block, Loner (4+), Mighty Blow (+1)</t>
  </si>
  <si>
    <t>Block, Loner (4+), Mighty Blow (+2), Thick Skull, Throw Team Mate</t>
  </si>
  <si>
    <t>Dodge, Frenzy, Jump Up, Juggernaut, Leap, Loner (4+)</t>
  </si>
  <si>
    <t>Block, Horns, Juggernaut, Loner (4+), No Hands, Tackle, Thick Skull</t>
  </si>
  <si>
    <t>Accurate, Loner (4+), Nerves of Steel, Pass, Regeneration, Sure Hands, Thick Skull</t>
  </si>
  <si>
    <t>Block, Loner (4+), Mighty Blow (+1), Tackle</t>
  </si>
  <si>
    <t>Accurate, Loner (4+), Nerves of Steel, Pass, Safe Pass, Sure Hands</t>
  </si>
  <si>
    <t>Block, Jump Up, Loner (4+), Mighty Blow (+1), Thick Skull</t>
  </si>
  <si>
    <t>Block, Dauntless, Loner (4+), Mighty Blow (+1), Stand Firm, Thick Skull</t>
  </si>
  <si>
    <t>Dauntless, Loner (4+), Side Step, Thick Skull</t>
  </si>
  <si>
    <t>Disturbing Presence, Juggernaut, Loner (4+), Mighty Blow (+1), Prehensile Tail, Regeneration, Sure Feet</t>
  </si>
  <si>
    <t>Colonna1</t>
  </si>
  <si>
    <t>Star Player Special Rules</t>
  </si>
  <si>
    <t>Sneakiest of the Lot</t>
  </si>
  <si>
    <t>If your team includes The Black Gobbo, you may commit two Foul actions per team turn, provided one of our Foul actions is committed by the Black Gobbo himself</t>
  </si>
  <si>
    <t>Reliable</t>
  </si>
  <si>
    <t>Mesmerizing Dance</t>
  </si>
  <si>
    <t>If Deeproot fumbles a Throw Team Mate action, the player that was to be thrown will bounce as normal but will automatically land safety</t>
  </si>
  <si>
    <t>Once per game, Eldril may re-roll a failed Agility test when attempting to use the Hypnotic Gaze trait</t>
  </si>
  <si>
    <t>Frenzied Rush</t>
  </si>
  <si>
    <t>Shot to Nothing</t>
  </si>
  <si>
    <t>Two for One</t>
  </si>
  <si>
    <t>Incorporeal</t>
  </si>
  <si>
    <t>Consummate Professional</t>
  </si>
  <si>
    <t>Slayer</t>
  </si>
  <si>
    <t>Treacherous</t>
  </si>
  <si>
    <t>Old Pro</t>
  </si>
  <si>
    <t>Indomitable</t>
  </si>
  <si>
    <t>Lord of Chaos</t>
  </si>
  <si>
    <t>Once per game, when Glart performs a Blitz action, he may gain the Frenzy skill. You must declare this special rule is being used when Glart is activated. Glart may not use the Grab skill during a turn in which he uses this special rule.</t>
  </si>
  <si>
    <t>Once per game, when Gloriel performs a Pass action, she may gain the Hail Mary Pass skill. You must declare thi special rule is being used when Gloriel is actied</t>
  </si>
  <si>
    <t>Grak and Crumbleberry must be Hired as a pair and count as two Star Players. However, if either Grak or Crumbleberry is removed from play due to suffering a KO'd or Casualty! Result on the Injury table, the other replaces the Loner (4+) trait with the Loner (2+) trait</t>
  </si>
  <si>
    <t>Once per game, after making an Agility test to dodge, Gretchen may choose to modify the dice roll by adding her Strength characteristic to it</t>
  </si>
  <si>
    <t>Once per game, Griff may re-roll one dice that was rolled either as a single dice roll, as part of a multiple dice roll or as part a dice pool (this cannot be a dice that was rolled as part of an Armour, Injury or Casualty roll)</t>
  </si>
  <si>
    <t>Once per game, when an opposition player with a Strength characteristic of 5 or more is Knocked Down as result of Block action performed by Grim, you may apply an addictional +1 modifier to either the Armour roll or Injury roll. This modifier may be applied after the roll as been made</t>
  </si>
  <si>
    <t>Favoured Of…</t>
  </si>
  <si>
    <t>Sylvanian Spootlight</t>
  </si>
  <si>
    <t>Wisdom of the White Dwarf</t>
  </si>
  <si>
    <t>Once per team turn, when one of Grombrindal's team-mate that is in an adjacent square is activated, that player gains either the Break Tackle, Dauntless, Mighty Blow (+1) or Sure Feet skill until the end of their activation</t>
  </si>
  <si>
    <t>Once per game, if a team-mate in an adjacent square to Hakflem is in possession of the ball when Hakflem is activated, that player may immediately be Knocked Down and Hakflem may take possession of the ball. No Turnover is caused as a result of using this special rule</t>
  </si>
  <si>
    <t>Once per game, Helmut may use his Pro skill to re-roll a single dice rolled as part of an Armour roll</t>
  </si>
  <si>
    <t>Once per game, when Karla successfully roll to use her Dauntless skill, she may increase her Strength characteristic to doble that of the nominated target of her Block action</t>
  </si>
  <si>
    <t>A team that includes Lord Borak gain an extra Team re-roll for the first half of the game. If this Team re-roll is not used during the first half it may be carried over into the second half. However, if Lord Borak is removedfron play before this re-roll is used, if is lost</t>
  </si>
  <si>
    <t>The Swift Twins must be Hired as a pair and count as two Star Players. However, if either Lucien or Valen is removed from play due to suffering a KO'd or Casualty! result on the Injury table, the other replaces the Loner (4+) trait with the Loner (2+) trait</t>
  </si>
  <si>
    <t>Once for game</t>
  </si>
  <si>
    <t>The Ballista</t>
  </si>
  <si>
    <t>Crushing Bowl</t>
  </si>
  <si>
    <t>*Lucien Swift</t>
  </si>
  <si>
    <t>*Roxanna Darknail</t>
  </si>
  <si>
    <t>*Eldrill Sidewinter</t>
  </si>
  <si>
    <t>*The Black Gobbo</t>
  </si>
  <si>
    <t>*Gloriel Summerbloom</t>
  </si>
  <si>
    <t>*Valen Swift</t>
  </si>
  <si>
    <t>*Willow Rosebark</t>
  </si>
  <si>
    <t>*Zolcath the Zoat</t>
  </si>
  <si>
    <t>*Glart Smashrip</t>
  </si>
  <si>
    <t>*Lord Borak the Despoiler</t>
  </si>
  <si>
    <t>*Hakflem Skuttlespike</t>
  </si>
  <si>
    <t>*Deeproot Strongbranch</t>
  </si>
  <si>
    <t>*Griff Oberwald</t>
  </si>
  <si>
    <t>*Grim Ironjaw</t>
  </si>
  <si>
    <t>*Karla Von Kill</t>
  </si>
  <si>
    <t>*Grombrindal, the White Dwarf</t>
  </si>
  <si>
    <t>*Gretchen Wàchter "The Blood Bowl Widow"</t>
  </si>
  <si>
    <t>*Crumbleberry</t>
  </si>
  <si>
    <t>*Glack</t>
  </si>
  <si>
    <t>*Helmut Wulf</t>
  </si>
  <si>
    <t>*Mighty Zug</t>
  </si>
  <si>
    <t>*Morg 'n' Thorg</t>
  </si>
  <si>
    <t>*Rumbelow Sheepskin</t>
  </si>
  <si>
    <t>*Skrull Halfheight</t>
  </si>
  <si>
    <t>*Varag Ghoul-Chewer</t>
  </si>
  <si>
    <t>Star Player Special Rule</t>
  </si>
  <si>
    <t>Chaos Chosen</t>
  </si>
  <si>
    <t>Dark Elf</t>
  </si>
  <si>
    <t>Elven Union</t>
  </si>
  <si>
    <t>Imperial Nobility</t>
  </si>
  <si>
    <t>Necromantic Horror</t>
  </si>
  <si>
    <t>Old World Alliance</t>
  </si>
  <si>
    <t>Shambling Undead</t>
  </si>
  <si>
    <t>Wood Elf</t>
  </si>
  <si>
    <t>Goblin Bruiser Lineman</t>
  </si>
  <si>
    <t>Beastman Runner Lineman</t>
  </si>
  <si>
    <t>Renegade Human Lineman</t>
  </si>
  <si>
    <t>Dwarf Blocker Lineman</t>
  </si>
  <si>
    <t>Elven Union Lineman</t>
  </si>
  <si>
    <t>Goblin Lineman</t>
  </si>
  <si>
    <t>Halfling Hopeful Lineman</t>
  </si>
  <si>
    <t>Imperial Retainer Lineman</t>
  </si>
  <si>
    <t>Zombie Lineman</t>
  </si>
  <si>
    <t>Rotter Lineman</t>
  </si>
  <si>
    <t>Gnoblar Lineman</t>
  </si>
  <si>
    <t>Orc Lineman</t>
  </si>
  <si>
    <t>Skeleton Lineman</t>
  </si>
  <si>
    <t>Skaven Clanrat Lineman</t>
  </si>
  <si>
    <t>Snotling Lineman</t>
  </si>
  <si>
    <t>Underworld Goblin Lineman</t>
  </si>
  <si>
    <t>Wood Elf Lineman</t>
  </si>
  <si>
    <t>Halfling Hefty</t>
  </si>
  <si>
    <t>Ghoul Runner°</t>
  </si>
  <si>
    <t>Fungus Flinga</t>
  </si>
  <si>
    <t>Fun-hoppa</t>
  </si>
  <si>
    <t>Assassin</t>
  </si>
  <si>
    <t>Altern Forest Treeman</t>
  </si>
  <si>
    <t>Bodyguard</t>
  </si>
  <si>
    <t>Big Un Blocker</t>
  </si>
  <si>
    <t>Stilty Runna</t>
  </si>
  <si>
    <t>Skaven Thrower°</t>
  </si>
  <si>
    <t>*Grak °°</t>
  </si>
  <si>
    <t>Renegade Skaven</t>
  </si>
  <si>
    <t>Deathroller</t>
  </si>
  <si>
    <t>*Eldril Sidewinder</t>
  </si>
  <si>
    <t>Flesh Golem</t>
  </si>
  <si>
    <t>Goblin°</t>
  </si>
  <si>
    <t>Gutter Runner°</t>
  </si>
  <si>
    <t>*Crumbleberry °°</t>
  </si>
  <si>
    <t>Skaven Blitzer°</t>
  </si>
  <si>
    <t>*Morg ’n’ Thorg</t>
  </si>
  <si>
    <t>*Karla von Kill</t>
  </si>
  <si>
    <t>*Gretchen Wächter</t>
  </si>
  <si>
    <t>*Lucien Swift °°</t>
  </si>
  <si>
    <t>Altern Forest Treeman°</t>
  </si>
  <si>
    <t>*Valen Swift °°</t>
  </si>
  <si>
    <t>*Zolcath The Zoat</t>
  </si>
  <si>
    <t>Positioner League</t>
  </si>
  <si>
    <t>Chaos Renegade</t>
  </si>
  <si>
    <t>Underworld Denizens</t>
  </si>
  <si>
    <t>Beastman Runner Journeyman</t>
  </si>
  <si>
    <t>Goblin Bruiser Journeyman</t>
  </si>
  <si>
    <t>Renegade Human Journeyman</t>
  </si>
  <si>
    <t>Dark Elf Journeyman</t>
  </si>
  <si>
    <t>Dwarf Blocker Journeyman</t>
  </si>
  <si>
    <t>Elven Union Journeyman</t>
  </si>
  <si>
    <t>Goblin Journeyman</t>
  </si>
  <si>
    <t>Human Journeyman</t>
  </si>
  <si>
    <t>Imperial Retainer Journeyman</t>
  </si>
  <si>
    <t>Zombie Journeyman</t>
  </si>
  <si>
    <t>Rotter Journeyman</t>
  </si>
  <si>
    <t>Gnoblar Journeyman</t>
  </si>
  <si>
    <t>Old World Human Journeyman</t>
  </si>
  <si>
    <t>Orc Journeyman</t>
  </si>
  <si>
    <t>Skaven Clanrat Journeyman</t>
  </si>
  <si>
    <t>Snotling Journeyman</t>
  </si>
  <si>
    <t>Underworld Goblin Journeyman</t>
  </si>
  <si>
    <t>Wood Elf Journeyman</t>
  </si>
  <si>
    <t>Halfling Hopeful Journeyman</t>
  </si>
  <si>
    <t>Skink Runner Lineman</t>
  </si>
  <si>
    <t>Skink Runner Journeyman</t>
  </si>
  <si>
    <t>Burst of Speed</t>
  </si>
  <si>
    <t>Ram</t>
  </si>
  <si>
    <t>Strong Passing Game</t>
  </si>
  <si>
    <t>Once per game, when Willow successfully roll to use her Dauntless skill, she may increase her Strength characteristic to doble that of the nominated target of her Block action</t>
  </si>
  <si>
    <t>Excuse Me, Are You a Zoat?</t>
  </si>
  <si>
    <t>Once per game, when Zolcath is activated he may gain the Hypnotic Gaze trait. You must declare this special rule is being used Zolcath is activated</t>
  </si>
  <si>
    <t>Check</t>
  </si>
  <si>
    <t>TOT</t>
  </si>
  <si>
    <t>BB2020 GW  -  Created by Quercio for Black Thunder BBF</t>
  </si>
  <si>
    <t>Note:</t>
  </si>
  <si>
    <t>Injury:</t>
  </si>
  <si>
    <t>Custom Skill</t>
  </si>
  <si>
    <t>League Setup</t>
  </si>
  <si>
    <t>Tournament Setup</t>
  </si>
  <si>
    <t>Roster Skill</t>
  </si>
  <si>
    <t>Juggernaut ®</t>
  </si>
  <si>
    <t>Mod Value</t>
  </si>
  <si>
    <t>Amazon</t>
  </si>
  <si>
    <t>Tribal Linewoman</t>
  </si>
  <si>
    <t>Eagle Warrior Thrower</t>
  </si>
  <si>
    <t>Piranha Warrior Catcher</t>
  </si>
  <si>
    <t>Koka Kalim Blitzer</t>
  </si>
  <si>
    <t>Dodge, Pass</t>
  </si>
  <si>
    <t>Block, Dodge</t>
  </si>
  <si>
    <t>Loner (4+), Dodge</t>
  </si>
  <si>
    <t>zStarPlayer</t>
  </si>
  <si>
    <t>Chaos Dwarf</t>
  </si>
  <si>
    <t>Hobgoblin Linemen</t>
  </si>
  <si>
    <t>Chaos Dwarf Blocker</t>
  </si>
  <si>
    <t>Bull Centaur Blitzer</t>
  </si>
  <si>
    <t>Ensaved Minotaur</t>
  </si>
  <si>
    <t>High Elf</t>
  </si>
  <si>
    <t>Norse</t>
  </si>
  <si>
    <t>Vampire</t>
  </si>
  <si>
    <t xml:space="preserve">N </t>
  </si>
  <si>
    <t>Sprint, Sure Feet, Thick Skull</t>
  </si>
  <si>
    <t>High Elf Lineman</t>
  </si>
  <si>
    <t>High Elf Thrower</t>
  </si>
  <si>
    <t>High Elf Catcher</t>
  </si>
  <si>
    <t>High Elf Blitzer</t>
  </si>
  <si>
    <t>High Elf Journeymen</t>
  </si>
  <si>
    <t>Hobgoblin Journeyman</t>
  </si>
  <si>
    <t>Cloud Burster, Pass, Safe Pass</t>
  </si>
  <si>
    <t>Norse Berserker</t>
  </si>
  <si>
    <t>Ulfwerener</t>
  </si>
  <si>
    <t>Yhetee</t>
  </si>
  <si>
    <t>Block, Frenzy, Jump Up</t>
  </si>
  <si>
    <t>Frenzy</t>
  </si>
  <si>
    <t>Claws, Disturbing Presence, Frenzy, Loner (4+), Unchannelled Fury</t>
  </si>
  <si>
    <t>Tomb Kings</t>
  </si>
  <si>
    <t>Anointed Thrower</t>
  </si>
  <si>
    <t>Anointed Blitzer</t>
  </si>
  <si>
    <t>Tomb Guardian</t>
  </si>
  <si>
    <t>Skeleton Journeyman</t>
  </si>
  <si>
    <t>Thrall Lineman</t>
  </si>
  <si>
    <t>Vampire Blitzer</t>
  </si>
  <si>
    <t>Thrall Journeyman</t>
  </si>
  <si>
    <t>Pass, Regeneration, Sure Hands, Thick Skull</t>
  </si>
  <si>
    <t>Block, Regeneration, Thick Skull</t>
  </si>
  <si>
    <t>Decay, Regeneration</t>
  </si>
  <si>
    <t>Loner (4+), Regeneration, Thick Skull</t>
  </si>
  <si>
    <t>Animal Savagery, Hypnotic Gaze, Regeneration</t>
  </si>
  <si>
    <t>Norse Journeyman</t>
  </si>
  <si>
    <t>Tribal Linewoman Journeywoman</t>
  </si>
  <si>
    <t>7-9: MNG</t>
  </si>
  <si>
    <t>Team Roster</t>
  </si>
  <si>
    <t xml:space="preserve">Benvenuto nel foglio Roster per "Blood Bowl Second Season". </t>
  </si>
  <si>
    <t>Scegli fra League Setup o Tournament Setup.</t>
  </si>
  <si>
    <r>
      <t xml:space="preserve">In questo foglio avrai la possibilità di creare un Roster, da Lega o da Torneo, scegliendo tra tutte le razze presenti nel manuale e nel </t>
    </r>
    <r>
      <rPr>
        <b/>
        <sz val="11"/>
        <color rgb="FF000000"/>
        <rFont val="Arial"/>
        <family val="2"/>
      </rPr>
      <t>"Legacy Rosters PDF</t>
    </r>
    <r>
      <rPr>
        <sz val="11"/>
        <color rgb="FF000000"/>
        <rFont val="Arial"/>
        <family val="2"/>
      </rPr>
      <t>".</t>
    </r>
  </si>
  <si>
    <t>Seleziona la razza.</t>
  </si>
  <si>
    <t>Alcune opzioni si impostano automaticamente come: le Team Special Rules, la possibilità o meno di acquistare un Apotecario, la lista dei Positioner disponibili, ecc.</t>
  </si>
  <si>
    <r>
      <t xml:space="preserve">Selezionando </t>
    </r>
    <r>
      <rPr>
        <b/>
        <sz val="11"/>
        <color rgb="FF000000"/>
        <rFont val="Arial"/>
        <family val="2"/>
      </rPr>
      <t>League Setup</t>
    </r>
    <r>
      <rPr>
        <sz val="11"/>
        <color rgb="FF000000"/>
        <rFont val="Arial"/>
        <family val="2"/>
      </rPr>
      <t xml:space="preserve"> non verranno calcolati nel TV i </t>
    </r>
    <r>
      <rPr>
        <b/>
        <sz val="11"/>
        <color rgb="FF000000"/>
        <rFont val="Arial"/>
        <family val="2"/>
      </rPr>
      <t>Dedicated Fan</t>
    </r>
    <r>
      <rPr>
        <sz val="11"/>
        <color rgb="FF000000"/>
        <rFont val="Arial"/>
        <family val="2"/>
      </rPr>
      <t xml:space="preserve"> e i Linemen delle razze con la Team Special Rule "</t>
    </r>
    <r>
      <rPr>
        <b/>
        <sz val="11"/>
        <color rgb="FF000000"/>
        <rFont val="Arial"/>
        <family val="2"/>
      </rPr>
      <t>Low Cost Linemen</t>
    </r>
    <r>
      <rPr>
        <sz val="11"/>
        <color rgb="FF000000"/>
        <rFont val="Arial"/>
        <family val="2"/>
      </rPr>
      <t>".</t>
    </r>
  </si>
  <si>
    <t>Selezionando una star compare automaticamente la sua Special Rule nella casella specifica.</t>
  </si>
  <si>
    <t>Le Star acquistate in coppia hanno Special Rule e costo impostati su un solo giocatore.</t>
  </si>
  <si>
    <r>
      <t xml:space="preserve">Nelle caselle dei malus di caratteristica </t>
    </r>
    <r>
      <rPr>
        <b/>
        <sz val="11"/>
        <color rgb="FF000000"/>
        <rFont val="Arial"/>
        <family val="2"/>
      </rPr>
      <t>VA SEMPRE inserito il segno "-"</t>
    </r>
    <r>
      <rPr>
        <sz val="11"/>
        <color rgb="FF000000"/>
        <rFont val="Arial"/>
        <family val="2"/>
      </rPr>
      <t>.</t>
    </r>
  </si>
  <si>
    <r>
      <t xml:space="preserve">Le Skill nel menù a tendina sono doppie. Una </t>
    </r>
    <r>
      <rPr>
        <b/>
        <sz val="11"/>
        <color rgb="FF000000"/>
        <rFont val="Arial"/>
        <family val="2"/>
      </rPr>
      <t>Normale</t>
    </r>
    <r>
      <rPr>
        <sz val="11"/>
        <color rgb="FF000000"/>
        <rFont val="Arial"/>
        <family val="2"/>
      </rPr>
      <t xml:space="preserve"> (es. Block) e una </t>
    </r>
    <r>
      <rPr>
        <b/>
        <sz val="11"/>
        <color rgb="FF000000"/>
        <rFont val="Arial"/>
        <family val="2"/>
      </rPr>
      <t>Random</t>
    </r>
    <r>
      <rPr>
        <sz val="11"/>
        <color rgb="FF000000"/>
        <rFont val="Arial"/>
        <family val="2"/>
      </rPr>
      <t xml:space="preserve"> (es. Block®). Scalano SPP e modificano il valore diversamente.</t>
    </r>
  </si>
  <si>
    <t>Le caselle di interferenza (Def) e Intercetto (Int) sono indipendenti e attribuiscono 1 punto ciascuna. Il che vuol dire che se eseguite solo un interferenza nel passaggio segnate 1 in Def e se riuscite a intercettare dovrete segnare 1 in Def e 1 in Int.</t>
  </si>
  <si>
    <r>
      <t xml:space="preserve">Gli Spp vengono scalati </t>
    </r>
    <r>
      <rPr>
        <b/>
        <sz val="11"/>
        <color rgb="FF000000"/>
        <rFont val="Arial"/>
        <family val="2"/>
      </rPr>
      <t>automaticamente</t>
    </r>
    <r>
      <rPr>
        <sz val="11"/>
        <color rgb="FF000000"/>
        <rFont val="Arial"/>
        <family val="2"/>
      </rPr>
      <t xml:space="preserve"> all'acquisto di una skill.</t>
    </r>
  </si>
  <si>
    <r>
      <t xml:space="preserve"> Il valore giocatore aumenta </t>
    </r>
    <r>
      <rPr>
        <b/>
        <sz val="11"/>
        <color rgb="FF000000"/>
        <rFont val="Arial"/>
        <family val="2"/>
      </rPr>
      <t>automaticamente</t>
    </r>
    <r>
      <rPr>
        <sz val="11"/>
        <color rgb="FF000000"/>
        <rFont val="Arial"/>
        <family val="2"/>
      </rPr>
      <t xml:space="preserve"> dopo l'assegnazione di una skill.</t>
    </r>
  </si>
  <si>
    <t>Ogni volta  che si esegue un tiro per l'aumento di car ma si sceglie un doppio bisogna mettere un +1 nella casella "Mod Spp" in modo da scalare Spp correttamente.</t>
  </si>
  <si>
    <t>Roster Version</t>
  </si>
  <si>
    <t>v. 0</t>
  </si>
  <si>
    <t>Fonti di partenza:</t>
  </si>
  <si>
    <t>Qualsiasi errore riscontrate nel foglio excel scrivete a quercio.dulivo@gmail.com</t>
  </si>
  <si>
    <t>1-6: BH</t>
  </si>
  <si>
    <t>10-12 MNG+N</t>
  </si>
  <si>
    <t>15-16 DEAD</t>
  </si>
  <si>
    <t>13-14 MNG+Stat</t>
  </si>
  <si>
    <t>M</t>
  </si>
  <si>
    <t>Credits</t>
  </si>
  <si>
    <t>Daemons of Khorne</t>
  </si>
  <si>
    <t>Pit Fighter</t>
  </si>
  <si>
    <t>Bloodletter Daemon</t>
  </si>
  <si>
    <t>Khorne Herald</t>
  </si>
  <si>
    <t>Bloodthirster</t>
  </si>
  <si>
    <t>Pit Fighter Journeyman</t>
  </si>
  <si>
    <t>Slann</t>
  </si>
  <si>
    <t>Slann Lineman</t>
  </si>
  <si>
    <t>Slann Catcher</t>
  </si>
  <si>
    <t>Slann Blitzer</t>
  </si>
  <si>
    <t>Slann Kroxigor</t>
  </si>
  <si>
    <t>*Frank 'n' Stein</t>
  </si>
  <si>
    <t>*Wilhelm Chaney</t>
  </si>
  <si>
    <t>*Bryce "The Slice" Cambuel</t>
  </si>
  <si>
    <t>Break Tackle, Loner (4+), Mighty Blow (+1), Regeneration, Stand Firm, Thick Skull</t>
  </si>
  <si>
    <t>Catch, Claws, Frenzy, Loner (4+), Regeneration, Wrestler</t>
  </si>
  <si>
    <t>Chainsaw, Loner (4+), Regenaration, Secret Weapon, Stand Firm, Thick Skull</t>
  </si>
  <si>
    <r>
      <rPr>
        <b/>
        <u/>
        <sz val="10"/>
        <color rgb="FF000000"/>
        <rFont val="Arial"/>
        <family val="2"/>
      </rPr>
      <t>Brutal Block:</t>
    </r>
    <r>
      <rPr>
        <sz val="10"/>
        <color rgb="FF000000"/>
        <rFont val="Arial"/>
        <family val="2"/>
      </rPr>
      <t xml:space="preserve"> Once for game, when Frank 'n' Stein makes an Injury roll agaist an opponent as a result of a Block action, he may choose to add an additional +1 modifier to the Injury roll. This modifier may be applied after the roll has been made</t>
    </r>
  </si>
  <si>
    <r>
      <rPr>
        <b/>
        <u/>
        <sz val="10"/>
        <color rgb="FF000000"/>
        <rFont val="Arial"/>
        <family val="2"/>
      </rPr>
      <t>Reliable:</t>
    </r>
    <r>
      <rPr>
        <b/>
        <sz val="10"/>
        <color rgb="FF000000"/>
        <rFont val="Arial"/>
        <family val="2"/>
      </rPr>
      <t xml:space="preserve"> </t>
    </r>
    <r>
      <rPr>
        <sz val="10"/>
        <color rgb="FF000000"/>
        <rFont val="Arial"/>
        <family val="2"/>
      </rPr>
      <t>If Deeproot fumbles a Throw Team Mate action, the player that was to be thrown will bounce as normal but will automatically land safety</t>
    </r>
  </si>
  <si>
    <r>
      <rPr>
        <b/>
        <u/>
        <sz val="10"/>
        <color rgb="FF000000"/>
        <rFont val="Arial"/>
        <family val="2"/>
      </rPr>
      <t>Mesmerizing Dance:</t>
    </r>
    <r>
      <rPr>
        <sz val="10"/>
        <color rgb="FF000000"/>
        <rFont val="Arial"/>
        <family val="2"/>
      </rPr>
      <t xml:space="preserve"> Once per game, Eldril may re-roll a failed Agility test when attempting to use the Hypnotic Gaze trait</t>
    </r>
  </si>
  <si>
    <r>
      <rPr>
        <b/>
        <u/>
        <sz val="10"/>
        <color rgb="FF000000"/>
        <rFont val="Arial"/>
        <family val="2"/>
      </rPr>
      <t>Two for One:</t>
    </r>
    <r>
      <rPr>
        <sz val="10"/>
        <color rgb="FF000000"/>
        <rFont val="Arial"/>
        <family val="2"/>
      </rPr>
      <t xml:space="preserve"> Grak and Crumbleberry must be Hired as a pair and count as two Star Players. However, if either Grak or Crumbleberry is removed from play due to suffering a KO'd or Casualty! Result on the Injury table, the other replaces the Loner (4+) trait with the Loner (2+) trait</t>
    </r>
  </si>
  <si>
    <r>
      <rPr>
        <b/>
        <u/>
        <sz val="10"/>
        <color rgb="FF000000"/>
        <rFont val="Arial"/>
        <family val="2"/>
      </rPr>
      <t>Frenzied Rush:</t>
    </r>
    <r>
      <rPr>
        <sz val="10"/>
        <color rgb="FF000000"/>
        <rFont val="Arial"/>
        <family val="2"/>
      </rPr>
      <t xml:space="preserve"> Once per game, when Glart performs a Blitz action, he may gain the Frenzy skill. You must declare this special rule is being used when Glart is activated. Glart may not use the Grab skill during a turn in which he uses this special rule.</t>
    </r>
  </si>
  <si>
    <r>
      <rPr>
        <b/>
        <u/>
        <sz val="10"/>
        <color rgb="FF000000"/>
        <rFont val="Arial"/>
        <family val="2"/>
      </rPr>
      <t>Shot to Nothing:</t>
    </r>
    <r>
      <rPr>
        <sz val="10"/>
        <color rgb="FF000000"/>
        <rFont val="Arial"/>
        <family val="2"/>
      </rPr>
      <t xml:space="preserve"> Once per game, when Gloriel performs a Pass action, she may gain the Hail Mary Pass skill. You must declare thi special rule is being used when Gloriel is actied</t>
    </r>
  </si>
  <si>
    <r>
      <rPr>
        <b/>
        <u/>
        <sz val="10"/>
        <color rgb="FF000000"/>
        <rFont val="Arial"/>
        <family val="2"/>
      </rPr>
      <t>Incorporeal:</t>
    </r>
    <r>
      <rPr>
        <sz val="10"/>
        <color rgb="FF000000"/>
        <rFont val="Arial"/>
        <family val="2"/>
      </rPr>
      <t xml:space="preserve"> Once per game, after making an Agility test to dodge, Gretchen may choose to modify the dice roll by adding her Strength characteristic to it</t>
    </r>
  </si>
  <si>
    <r>
      <rPr>
        <b/>
        <u/>
        <sz val="10"/>
        <color rgb="FF000000"/>
        <rFont val="Arial"/>
        <family val="2"/>
      </rPr>
      <t>Consummate Professional:</t>
    </r>
    <r>
      <rPr>
        <sz val="10"/>
        <color rgb="FF000000"/>
        <rFont val="Arial"/>
        <family val="2"/>
      </rPr>
      <t xml:space="preserve"> Once per game, Griff may re-roll one dice that was rolled either as a single dice roll, as part of a multiple dice roll or as part a dice pool (this cannot be a dice that was rolled as part of an Armour, Injury or Casualty roll)</t>
    </r>
  </si>
  <si>
    <r>
      <rPr>
        <b/>
        <u/>
        <sz val="10"/>
        <color rgb="FF000000"/>
        <rFont val="Arial"/>
        <family val="2"/>
      </rPr>
      <t>Slayer:</t>
    </r>
    <r>
      <rPr>
        <sz val="10"/>
        <color rgb="FF000000"/>
        <rFont val="Arial"/>
        <family val="2"/>
      </rPr>
      <t xml:space="preserve"> Once per game, when an opposition player with a Strength characteristic of 5 or more is Knocked Down as result of Block action performed by Grim, you may apply an addictional +1 modifier to either the Armour roll or Injury roll. This modifier may be applied after the roll as been made</t>
    </r>
  </si>
  <si>
    <r>
      <rPr>
        <b/>
        <u/>
        <sz val="10"/>
        <color rgb="FF000000"/>
        <rFont val="Arial"/>
        <family val="2"/>
      </rPr>
      <t>Wisdom of the White Dwarf:</t>
    </r>
    <r>
      <rPr>
        <sz val="10"/>
        <color rgb="FF000000"/>
        <rFont val="Arial"/>
        <family val="2"/>
      </rPr>
      <t xml:space="preserve"> Once per team turn, when one of Grombrindal's team-mate that is in an adjacent square is activated, that player gains either the Break Tackle, Dauntless, Mighty Blow (+1) or Sure Feet skill until the end of their activation</t>
    </r>
  </si>
  <si>
    <r>
      <rPr>
        <b/>
        <u/>
        <sz val="10"/>
        <color rgb="FF000000"/>
        <rFont val="Arial"/>
        <family val="2"/>
      </rPr>
      <t>Treacherous:</t>
    </r>
    <r>
      <rPr>
        <sz val="10"/>
        <color rgb="FF000000"/>
        <rFont val="Arial"/>
        <family val="2"/>
      </rPr>
      <t xml:space="preserve"> Once per game, if a team-mate in an adjacent square to Hakflem is in possession of the ball when Hakflem is activated, that player may immediately be Knocked Down and Hakflem may take possession of the ball. No Turnover is caused as a result of using this special rule</t>
    </r>
  </si>
  <si>
    <r>
      <rPr>
        <b/>
        <u/>
        <sz val="10"/>
        <color rgb="FF000000"/>
        <rFont val="Arial"/>
        <family val="2"/>
      </rPr>
      <t>Old Pro:</t>
    </r>
    <r>
      <rPr>
        <sz val="10"/>
        <color rgb="FF000000"/>
        <rFont val="Arial"/>
        <family val="2"/>
      </rPr>
      <t xml:space="preserve"> Once per game, Helmut may use his Pro skill to re-roll a single dice rolled as part of an Armour roll</t>
    </r>
  </si>
  <si>
    <r>
      <rPr>
        <b/>
        <u/>
        <sz val="10"/>
        <color rgb="FF000000"/>
        <rFont val="Arial"/>
        <family val="2"/>
      </rPr>
      <t>Indomitable:</t>
    </r>
    <r>
      <rPr>
        <sz val="10"/>
        <color rgb="FF000000"/>
        <rFont val="Arial"/>
        <family val="2"/>
      </rPr>
      <t xml:space="preserve"> Once per game, when Karla successfully roll to use her Dauntless skill, she may increase her Strength characteristic to doble that of the nominated target of her Block action</t>
    </r>
  </si>
  <si>
    <r>
      <rPr>
        <b/>
        <u/>
        <sz val="10"/>
        <color rgb="FF000000"/>
        <rFont val="Arial"/>
        <family val="2"/>
      </rPr>
      <t>Lord of Chaos:</t>
    </r>
    <r>
      <rPr>
        <sz val="10"/>
        <color rgb="FF000000"/>
        <rFont val="Arial"/>
        <family val="2"/>
      </rPr>
      <t xml:space="preserve"> A team that includes Lord Borak gain an extra Team re-roll for the first half of the game. If this Team re-roll is not used during the first half it may be carried over into the second half. However, if Lord Borak is removedfron play before this re-roll is used, if is lost</t>
    </r>
  </si>
  <si>
    <r>
      <rPr>
        <b/>
        <u/>
        <sz val="10"/>
        <color rgb="FF000000"/>
        <rFont val="Arial"/>
        <family val="2"/>
      </rPr>
      <t>Two for One:</t>
    </r>
    <r>
      <rPr>
        <sz val="10"/>
        <color rgb="FF000000"/>
        <rFont val="Arial"/>
        <family val="2"/>
      </rPr>
      <t xml:space="preserve"> The Swift Twins must be Hired as a pair and count as two Star Players. However, if either Lucien or Valen is removed from play due to suffering a KO'd or Casualty! result on the Injury table, the other replaces the Loner (4+) trait with the Loner (2+) trait</t>
    </r>
  </si>
  <si>
    <r>
      <rPr>
        <b/>
        <u/>
        <sz val="10"/>
        <color rgb="FF000000"/>
        <rFont val="Arial"/>
        <family val="2"/>
      </rPr>
      <t>Crushing Bowl:</t>
    </r>
    <r>
      <rPr>
        <sz val="10"/>
        <color rgb="FF000000"/>
        <rFont val="Arial"/>
        <family val="2"/>
      </rPr>
      <t xml:space="preserve"> Once for game, when an opposition player is Knocked Down as the result of a Block action performed by Zug, you may apply an additional +1 modifier to the Armour roll. This modifier may be applied after the roll as been made</t>
    </r>
  </si>
  <si>
    <r>
      <t>The Ballista:</t>
    </r>
    <r>
      <rPr>
        <sz val="10"/>
        <color rgb="FF000000"/>
        <rFont val="Arial"/>
        <family val="2"/>
      </rPr>
      <t xml:space="preserve"> Once per game, if Morg fails the Passing Ability test when making a Pass action or a Throw Team Mate action, you may re-roll a D6</t>
    </r>
  </si>
  <si>
    <r>
      <t>Burst of Speed:</t>
    </r>
    <r>
      <rPr>
        <sz val="10"/>
        <color rgb="FF000000"/>
        <rFont val="Arial"/>
        <family val="2"/>
      </rPr>
      <t xml:space="preserve"> Once per game, Roxxanna may attempt to Rush three times, rather than the usual two. You may declare you are using this special rule after Roxxanna has Rushed twice</t>
    </r>
  </si>
  <si>
    <r>
      <t>Ram:</t>
    </r>
    <r>
      <rPr>
        <sz val="10"/>
        <color rgb="FF000000"/>
        <rFont val="Arial"/>
        <family val="2"/>
      </rPr>
      <t xml:space="preserve"> Once for game, when an opposition player is Knocked Down as the result of a Block action performed by Rumbelow, you may apply an additional +1 modifier to either the Armour roll or Injury roll. This modifier may be applied after the roll as been made</t>
    </r>
  </si>
  <si>
    <r>
      <t>Strong Passing Game:</t>
    </r>
    <r>
      <rPr>
        <sz val="10"/>
        <color rgb="FF000000"/>
        <rFont val="Arial"/>
        <family val="2"/>
      </rPr>
      <t xml:space="preserve"> Once per game, after making a Paassing Ability test to perform Pass action, Skrull may choose to modify the dice roll by adding his Strength characteristic to it</t>
    </r>
  </si>
  <si>
    <r>
      <rPr>
        <b/>
        <u/>
        <sz val="10"/>
        <color rgb="FF000000"/>
        <rFont val="Arial"/>
        <family val="2"/>
      </rPr>
      <t>Sneakiest of the Lot:</t>
    </r>
    <r>
      <rPr>
        <sz val="10"/>
        <color rgb="FF000000"/>
        <rFont val="Arial"/>
        <family val="2"/>
      </rPr>
      <t xml:space="preserve"> If your team includes The Black Gobbo, you may commit two Foul actions per team turn, provided one of our Foul actions is committed by the Black Gobbo himself</t>
    </r>
  </si>
  <si>
    <r>
      <rPr>
        <b/>
        <u/>
        <sz val="10"/>
        <color rgb="FF000000"/>
        <rFont val="Arial"/>
        <family val="2"/>
      </rPr>
      <t>Crushing Bowl:</t>
    </r>
    <r>
      <rPr>
        <sz val="10"/>
        <color rgb="FF000000"/>
        <rFont val="Arial"/>
        <family val="2"/>
      </rPr>
      <t xml:space="preserve"> Once for game, when an opposition player is Knocked Down as the result of a Block action performed by Varag, you may apply an additional +1 modifier to the Armour roll. This modifier may be applied after the roll as been made</t>
    </r>
  </si>
  <si>
    <r>
      <rPr>
        <b/>
        <u/>
        <sz val="10"/>
        <color rgb="FF000000"/>
        <rFont val="Arial"/>
        <family val="2"/>
      </rPr>
      <t>Indomitable:</t>
    </r>
    <r>
      <rPr>
        <sz val="10"/>
        <color rgb="FF000000"/>
        <rFont val="Arial"/>
        <family val="2"/>
      </rPr>
      <t xml:space="preserve"> Once per game, when Willow successfully roll to use her Dauntless skill, she may increase her Strength characteristic to doble that of the nominated target of her Block action</t>
    </r>
  </si>
  <si>
    <r>
      <t xml:space="preserve">Excuse Me, Are You a Zoat?: </t>
    </r>
    <r>
      <rPr>
        <sz val="10"/>
        <color rgb="FF000000"/>
        <rFont val="Arial"/>
        <family val="2"/>
      </rPr>
      <t>Once per game, when Zolcath is activated he may gain the Hypnotic Gaze trait. You must declare this special rule is being used Zolcath is activated</t>
    </r>
  </si>
  <si>
    <r>
      <rPr>
        <b/>
        <u/>
        <sz val="10"/>
        <color rgb="FF000000"/>
        <rFont val="Arial"/>
        <family val="2"/>
      </rPr>
      <t>Savage Mauling:</t>
    </r>
    <r>
      <rPr>
        <sz val="10"/>
        <color rgb="FF000000"/>
        <rFont val="Arial"/>
        <family val="2"/>
      </rPr>
      <t xml:space="preserve"> Once per game, when Wilhelm makes an Injury roll against an opponent player, he may choose to Re-Roll the result.</t>
    </r>
  </si>
  <si>
    <r>
      <rPr>
        <b/>
        <u/>
        <sz val="10"/>
        <color rgb="FF000000"/>
        <rFont val="Arial"/>
        <family val="2"/>
      </rPr>
      <t>Ghostly Flames:</t>
    </r>
    <r>
      <rPr>
        <sz val="10"/>
        <color rgb="FF000000"/>
        <rFont val="Arial"/>
        <family val="2"/>
      </rPr>
      <t xml:space="preserve"> Once for half, when Bryce makes the Chainsaw Attack Special action as part of a Blitz action, he may add +4 to the Armour roll against an opponent rather than +3.</t>
    </r>
  </si>
  <si>
    <t>Slann Journeyman</t>
  </si>
  <si>
    <t>Pogo Stick, Very Long Legs</t>
  </si>
  <si>
    <t>Diving Chatch, Pogo Stick, Very Long Legs</t>
  </si>
  <si>
    <t>Diving Tackle, Jump Up, Pogo Stick, Very Long Legs</t>
  </si>
  <si>
    <t>Loner (4+), Pogo Stick, Very Long Legs</t>
  </si>
  <si>
    <t>Loner (4+), Frenzy</t>
  </si>
  <si>
    <t>Horns, Juggernaut, Regeneration</t>
  </si>
  <si>
    <t>Frenzy, Horns, Juggernaut</t>
  </si>
  <si>
    <t>Frenzy, Horns, Loner (4+), Mighty Blow (+1), Thick Skull, Unchannelled Fury</t>
  </si>
  <si>
    <t>- NAF Rules for Tournaments</t>
  </si>
  <si>
    <t>Animal Savagery, Frenzy, Horns, Loner (4+), Mighty Blow (+1), Thick Skull</t>
  </si>
  <si>
    <t>Loner (4+), Frenzy, Horns, Mighty Blow (+1), Thick Skull, Unchannelled Fury</t>
  </si>
  <si>
    <t>Animosity (all team-mates), Pass, Safe Pair of Hands</t>
  </si>
  <si>
    <t>Animosity (all team-mates), Dodge, Right Stuff, Stunty</t>
  </si>
  <si>
    <t>Animosity (all team-mates)</t>
  </si>
  <si>
    <t>Block, Loner (4+), Tackle, Thick Skull</t>
  </si>
  <si>
    <t>Bone Head, Loner (4+), Mighty Blow (+1), Prehensile Tale, Thick Skull</t>
  </si>
  <si>
    <t>Dodge, Loner (4+), Right Stuff, Side Step, Stunty, Titchy</t>
  </si>
  <si>
    <t>Block, Loner (3+), Thick Skull</t>
  </si>
  <si>
    <t>Animosity (Big Un Blockers)</t>
  </si>
  <si>
    <t>- Blood Bowl - The Official Rules</t>
  </si>
  <si>
    <t>- Legacy Roster PDF (Warhammer Community)</t>
  </si>
  <si>
    <t>- Spike! - Issue 11</t>
  </si>
  <si>
    <t>Badstorm - Buttinho - Manimal - MathiasToss - Menzogna - Phoenix - Psycho</t>
  </si>
  <si>
    <t>Akhorne the Squirrel</t>
  </si>
  <si>
    <t>Claws, Dauntless, Dodge, Frenzy, Jump Up, Loner (4+), No Hands, SideStep, Stunty, Titchy</t>
  </si>
  <si>
    <t>*Akhorne the Squirrel</t>
  </si>
  <si>
    <r>
      <rPr>
        <b/>
        <u/>
        <sz val="10"/>
        <color rgb="FF000000"/>
        <rFont val="Arial"/>
        <family val="2"/>
      </rPr>
      <t>Blind Rage:</t>
    </r>
    <r>
      <rPr>
        <sz val="10"/>
        <color rgb="FF000000"/>
        <rFont val="Arial"/>
        <family val="2"/>
      </rPr>
      <t xml:space="preserve"> Akhorne may choose to re-roll the d6 when rolling for the Dauntless skill.</t>
    </r>
  </si>
  <si>
    <t>Khorne</t>
  </si>
  <si>
    <t>Bloodborn Marauder Lineman</t>
  </si>
  <si>
    <t>Bloodborn Marauder Journeyman</t>
  </si>
  <si>
    <t>Khorngor</t>
  </si>
  <si>
    <t>Bloodseeker</t>
  </si>
  <si>
    <t>Horns, Juggernaut</t>
  </si>
  <si>
    <t>High Elf Journeyman</t>
  </si>
  <si>
    <t>Bloodspawn</t>
  </si>
  <si>
    <t>Claws, Frenzy, Loner (4+), Mighty Blow (+1), Unchanneled Fury</t>
  </si>
  <si>
    <t>Claws, Frenzy, Horns, Juggernaut, Loner (4+), Regeneration, Unchanneled Fury</t>
  </si>
  <si>
    <t>Grashnak Blackhoof</t>
  </si>
  <si>
    <t>Kreek Rustgouger</t>
  </si>
  <si>
    <t>Max Spleenripper</t>
  </si>
  <si>
    <t>Scyla Anfingrimm</t>
  </si>
  <si>
    <r>
      <rPr>
        <b/>
        <u/>
        <sz val="10"/>
        <color rgb="FF000000"/>
        <rFont val="Arial"/>
        <family val="2"/>
      </rPr>
      <t>Gored by the Bull:</t>
    </r>
    <r>
      <rPr>
        <sz val="10"/>
        <color rgb="FF000000"/>
        <rFont val="Arial"/>
        <family val="2"/>
      </rPr>
      <t xml:space="preserve"> Once per game, when Grashnak performs a Blitz action, Grashnak may roll one additional Block dice against the opposition player, regardless of the opposition player's Strength, to a maximum of three Block dice. If Grashnak performs a second Block action due to the Frenzy skill, this second Block action will also benefit from this rule.</t>
    </r>
  </si>
  <si>
    <r>
      <t>I'ii Be Back!:</t>
    </r>
    <r>
      <rPr>
        <sz val="10"/>
        <color rgb="FF000000"/>
        <rFont val="Arial"/>
        <family val="2"/>
      </rPr>
      <t xml:space="preserve"> The first time in game that Kreek Rustgouger would be Sent-off and instead may continue as part of the game.</t>
    </r>
  </si>
  <si>
    <t>Chainsaw, Loner (4+), Secret Weapon</t>
  </si>
  <si>
    <t>Claws, Frenzy, Loner (4+), Mighty Blow (+1), Prehensile Tail, Thick Skull, Unchanneled Fury</t>
  </si>
  <si>
    <r>
      <rPr>
        <b/>
        <u/>
        <sz val="10"/>
        <color rgb="FF000000"/>
        <rFont val="Arial"/>
        <family val="2"/>
      </rPr>
      <t>Fury of the Blood God:</t>
    </r>
    <r>
      <rPr>
        <sz val="10"/>
        <color rgb="FF000000"/>
        <rFont val="Arial"/>
        <family val="2"/>
      </rPr>
      <t xml:space="preserve"> Once per game, if Scyla rolls a 1 for his Unchannelled Fury roll after declaring a Block action, instead of applying the usual effects of Unchannelled Fury, Scyla may perform two Block actions instead.</t>
    </r>
  </si>
  <si>
    <r>
      <t>Maximum Carnage:</t>
    </r>
    <r>
      <rPr>
        <b/>
        <sz val="10"/>
        <color rgb="FF000000"/>
        <rFont val="Arial"/>
        <family val="2"/>
      </rPr>
      <t xml:space="preserve"> </t>
    </r>
    <r>
      <rPr>
        <sz val="10"/>
        <color rgb="FF000000"/>
        <rFont val="Arial"/>
        <family val="2"/>
      </rPr>
      <t>Once per game, after Max performs a Chainsaw Attack Special action he may immediately perform another Chainsaw Attack Special action that targets a different opposition player.</t>
    </r>
  </si>
  <si>
    <t>*Max Spleenripper</t>
  </si>
  <si>
    <t>*Scyla Anfingrimm</t>
  </si>
  <si>
    <t>*Grashnak Blackhoof</t>
  </si>
  <si>
    <t>*Kreek Rustgouger</t>
  </si>
  <si>
    <t>- Spike! - Issue 12</t>
  </si>
  <si>
    <t>Ball &amp; Chain, Loner (4+), Mighty Blow (+1), No Hands, Prehensile Tail, Secret Weapon</t>
  </si>
  <si>
    <t/>
  </si>
  <si>
    <t>- Designer's Commentary November 2021 (Errata)</t>
  </si>
  <si>
    <t>Bonobo Lineape</t>
  </si>
  <si>
    <t>Orangutan Thrower</t>
  </si>
  <si>
    <t>Chimpanzee Runner</t>
  </si>
  <si>
    <t>SilverBack</t>
  </si>
  <si>
    <t>Simyin (Fumbbl)</t>
  </si>
  <si>
    <t>Gorilla Blocker</t>
  </si>
  <si>
    <t>Silverback</t>
  </si>
  <si>
    <t>Bonobo Journeyape</t>
  </si>
  <si>
    <t>Extra Arms, Wrestle</t>
  </si>
  <si>
    <t>Stand Firm, Wrestle</t>
  </si>
  <si>
    <t>Extra Arms, Grab</t>
  </si>
  <si>
    <t>Extra Arms, Grab, Loner (4+), Mighty Blow (+1), Unchannelled Fury</t>
  </si>
  <si>
    <t>Extra Arms, Loner (4+)</t>
  </si>
  <si>
    <t>Norse Rider Lineman</t>
  </si>
  <si>
    <t>Beer Boar</t>
  </si>
  <si>
    <t>Valkyrie</t>
  </si>
  <si>
    <t>Norse Rider Journeyman</t>
  </si>
  <si>
    <t>*Ivar Eriksson</t>
  </si>
  <si>
    <t>*Skrorg Snowpelt</t>
  </si>
  <si>
    <t>*Thorsson Stoutmead</t>
  </si>
  <si>
    <t>*Barik Farblast</t>
  </si>
  <si>
    <t>Block, Drunkard, Thick Skull</t>
  </si>
  <si>
    <t>Dodge, No Hands, Stunty, Titchy, Pick Me Up!</t>
  </si>
  <si>
    <t>Catch, Dauntless, Pass, Strip Ball</t>
  </si>
  <si>
    <t>Block, Drunkard, Loner (4+), Thick Skull</t>
  </si>
  <si>
    <t>Barik Farblast</t>
  </si>
  <si>
    <t>Hail Mary Pass, Loner (4+), Pass, Secret Weapon, Cannoneer, Sure Hands, Thick Skull</t>
  </si>
  <si>
    <r>
      <rPr>
        <b/>
        <u/>
        <sz val="10"/>
        <color rgb="FF000000"/>
        <rFont val="Arial"/>
        <family val="2"/>
      </rPr>
      <t>Blast It!:</t>
    </r>
    <r>
      <rPr>
        <b/>
        <sz val="10"/>
        <color rgb="FF000000"/>
        <rFont val="Arial"/>
        <family val="2"/>
      </rPr>
      <t xml:space="preserve"> </t>
    </r>
    <r>
      <rPr>
        <sz val="10"/>
        <color rgb="FF000000"/>
        <rFont val="Arial"/>
        <family val="2"/>
      </rPr>
      <t>Once per game, when Barik makes a Hail Mary Pass, he may re-roll any scatter results for determining where the ball lands, and any friendly player attempting to catch the ball gains an additional +1 modifier to the roll.</t>
    </r>
  </si>
  <si>
    <t>Thorsson Stoutmead</t>
  </si>
  <si>
    <t>Ivar Eriksson</t>
  </si>
  <si>
    <t>Skrorg Snowpelt</t>
  </si>
  <si>
    <t>Block, Guard, Loner (3+), Tackle</t>
  </si>
  <si>
    <t>Claws, Disturbing Presence, Juggernaut, Loner (4+), Mighty Blow (+1)</t>
  </si>
  <si>
    <t>Bomber Dribblesnot</t>
  </si>
  <si>
    <r>
      <rPr>
        <b/>
        <u/>
        <sz val="10"/>
        <color rgb="FF000000"/>
        <rFont val="Arial"/>
        <family val="2"/>
      </rPr>
      <t>Beer Barrel Bash!:</t>
    </r>
    <r>
      <rPr>
        <sz val="10"/>
        <color rgb="FF000000"/>
        <rFont val="Arial"/>
        <family val="2"/>
      </rPr>
      <t xml:space="preserve"> Once per drive, at the start of his activation, Thorsson may perform a Throw Keg Special action. When he does, select an opposition player within three squares of Thorsson and roll a D6. On a 3+, the player is immediately Knocked Down. However, on a 1, Thorsson is  Knocked Down instead.</t>
    </r>
  </si>
  <si>
    <r>
      <rPr>
        <b/>
        <u/>
        <sz val="10"/>
        <color rgb="FF000000"/>
        <rFont val="Arial"/>
        <family val="2"/>
      </rPr>
      <t>Raiding Party:</t>
    </r>
    <r>
      <rPr>
        <sz val="10"/>
        <color rgb="FF000000"/>
        <rFont val="Arial"/>
        <family val="2"/>
      </rPr>
      <t xml:space="preserve"> Once per drive, whenever Ivar begins his activation, he may choose one Open player on his team within five squares. The chosen player may immediately move one square, ignoring Tackle Zones, though they must end this move Marking an opposition player.</t>
    </r>
  </si>
  <si>
    <r>
      <rPr>
        <b/>
        <u/>
        <sz val="10"/>
        <color rgb="FF000000"/>
        <rFont val="Arial"/>
        <family val="2"/>
      </rPr>
      <t>Pump Up the Crowd:</t>
    </r>
    <r>
      <rPr>
        <sz val="10"/>
        <color rgb="FF000000"/>
        <rFont val="Arial"/>
        <family val="2"/>
      </rPr>
      <t xml:space="preserve"> Once per game, when Skrorg causes an opposition player to be removed as a Casualty as the result of a Block action, Skrorg’s controlling coach gains one team re-roll. If this re-roll has not been used by the end of the drive, it is lost.</t>
    </r>
  </si>
  <si>
    <t>Accurate, Bombardier, Dodge, Loner (4+), Right Stuff, Secret Weapon, Stunty</t>
  </si>
  <si>
    <r>
      <rPr>
        <b/>
        <u/>
        <sz val="10"/>
        <color rgb="FF000000"/>
        <rFont val="Arial"/>
        <family val="2"/>
      </rPr>
      <t>Kaboom!:</t>
    </r>
    <r>
      <rPr>
        <sz val="10"/>
        <color rgb="FF000000"/>
        <rFont val="Arial"/>
        <family val="2"/>
      </rPr>
      <t xml:space="preserve"> Once per game, if an opposition player catches a Bomb thrown by Bomber, you can choose to have it explode immediately rather than rolling to see if the player can throw it again.</t>
    </r>
  </si>
  <si>
    <t>Fungus the Loon</t>
  </si>
  <si>
    <t>Ball &amp; Chain, Mighty Blow (+1), Loner (4+), No Hands, Secret Weapon, Stunty</t>
  </si>
  <si>
    <r>
      <rPr>
        <b/>
        <u/>
        <sz val="10"/>
        <color rgb="FF000000"/>
        <rFont val="Arial"/>
        <family val="2"/>
      </rPr>
      <t>Whirling Dervish:</t>
    </r>
    <r>
      <rPr>
        <sz val="10"/>
        <color rgb="FF000000"/>
        <rFont val="Arial"/>
        <family val="2"/>
      </rPr>
      <t xml:space="preserve"> Once per activation, Fungus may re-roll the D6 when determining which direction he moves in.</t>
    </r>
  </si>
  <si>
    <t>*Bomber Dribblesnot</t>
  </si>
  <si>
    <t>*Fungus the Loon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</si>
</sst>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quot; &quot;#,##0.00;[Red]&quot;-&quot;[$€-410]&quot; &quot;#,##0.00"/>
    <numFmt numFmtId="165" formatCode="#,##0&quot;+&quot;"/>
  </numFmts>
  <fonts count="61" x14ac:knownFonts="1">
    <font>
      <sz val="11"/>
      <color rgb="FF000000"/>
      <name val="Arial"/>
      <family val="2"/>
    </font>
    <font>
      <sz val="11"/>
      <color rgb="FFFFFFFF"/>
      <name val="Arial"/>
      <family val="2"/>
    </font>
    <font>
      <b/>
      <i/>
      <sz val="16"/>
      <color rgb="FF000000"/>
      <name val="Arial"/>
      <family val="2"/>
    </font>
    <font>
      <b/>
      <i/>
      <u/>
      <sz val="11"/>
      <color rgb="FF000000"/>
      <name val="Arial"/>
      <family val="2"/>
    </font>
    <font>
      <b/>
      <sz val="11"/>
      <color rgb="FF000000"/>
      <name val="Arial"/>
      <family val="2"/>
    </font>
    <font>
      <b/>
      <sz val="16"/>
      <color rgb="FFFFFFFF"/>
      <name val="Arial"/>
      <family val="2"/>
    </font>
    <font>
      <sz val="8"/>
      <name val="Arial"/>
      <family val="2"/>
    </font>
    <font>
      <b/>
      <sz val="12"/>
      <color rgb="FFFFFFFF"/>
      <name val="Arial"/>
      <family val="2"/>
    </font>
    <font>
      <b/>
      <sz val="14"/>
      <color rgb="FF000000"/>
      <name val="Arial"/>
      <family val="2"/>
    </font>
    <font>
      <b/>
      <sz val="12"/>
      <color rgb="FF000000"/>
      <name val="Arial"/>
      <family val="2"/>
    </font>
    <font>
      <b/>
      <sz val="8"/>
      <color rgb="FF000000"/>
      <name val="Arial"/>
      <family val="2"/>
    </font>
    <font>
      <sz val="14"/>
      <color rgb="FF000000"/>
      <name val="Arial"/>
      <family val="2"/>
    </font>
    <font>
      <b/>
      <sz val="16"/>
      <color rgb="FF000000"/>
      <name val="Arial"/>
      <family val="2"/>
    </font>
    <font>
      <sz val="12"/>
      <color rgb="FF000000"/>
      <name val="Arial"/>
      <family val="2"/>
    </font>
    <font>
      <b/>
      <sz val="11"/>
      <color rgb="FF000000"/>
      <name val="Raleway"/>
    </font>
    <font>
      <sz val="11"/>
      <color rgb="FF000000"/>
      <name val="Raleway"/>
    </font>
    <font>
      <sz val="9"/>
      <color rgb="FF000000"/>
      <name val="Raleway"/>
    </font>
    <font>
      <sz val="11"/>
      <color rgb="FF00B050"/>
      <name val="Raleway"/>
    </font>
    <font>
      <b/>
      <sz val="16"/>
      <color rgb="FF000000"/>
      <name val="Raleway"/>
    </font>
    <font>
      <sz val="16"/>
      <color rgb="FF000000"/>
      <name val="Arial"/>
      <family val="2"/>
    </font>
    <font>
      <sz val="16"/>
      <color rgb="FF000000"/>
      <name val="Raleway"/>
    </font>
    <font>
      <sz val="8"/>
      <color rgb="FF000000"/>
      <name val="Raleway"/>
    </font>
    <font>
      <b/>
      <sz val="12"/>
      <color rgb="FF000000"/>
      <name val="Raleway"/>
    </font>
    <font>
      <b/>
      <sz val="10"/>
      <name val="Arial"/>
      <family val="2"/>
    </font>
    <font>
      <sz val="10"/>
      <name val="Arial"/>
      <family val="2"/>
    </font>
    <font>
      <sz val="10"/>
      <color rgb="FF000000"/>
      <name val="Arial"/>
      <family val="2"/>
    </font>
    <font>
      <b/>
      <sz val="10"/>
      <color rgb="FFFF0000"/>
      <name val="Calibri"/>
      <family val="2"/>
      <scheme val="minor"/>
    </font>
    <font>
      <b/>
      <sz val="10"/>
      <color rgb="FF000000"/>
      <name val="Arial"/>
      <family val="2"/>
    </font>
    <font>
      <b/>
      <sz val="18"/>
      <color rgb="FF000000"/>
      <name val="Arial"/>
      <family val="2"/>
    </font>
    <font>
      <sz val="9"/>
      <name val="Arial"/>
      <family val="2"/>
    </font>
    <font>
      <i/>
      <sz val="9"/>
      <name val="Arial"/>
      <family val="2"/>
    </font>
    <font>
      <b/>
      <sz val="9"/>
      <name val="Arial"/>
      <family val="2"/>
    </font>
    <font>
      <sz val="11"/>
      <color rgb="FFFF0000"/>
      <name val="Arial"/>
      <family val="2"/>
    </font>
    <font>
      <sz val="9"/>
      <color rgb="FF000000"/>
      <name val="Arial"/>
      <family val="2"/>
    </font>
    <font>
      <b/>
      <sz val="14"/>
      <color rgb="FF000000"/>
      <name val="Raleway"/>
    </font>
    <font>
      <sz val="12"/>
      <color rgb="FF000000"/>
      <name val="Raleway"/>
    </font>
    <font>
      <sz val="9"/>
      <color indexed="81"/>
      <name val="Tahoma"/>
      <family val="2"/>
    </font>
    <font>
      <b/>
      <sz val="9"/>
      <color indexed="81"/>
      <name val="Tahoma"/>
      <family val="2"/>
    </font>
    <font>
      <sz val="8"/>
      <color theme="0"/>
      <name val="Arial"/>
      <family val="2"/>
    </font>
    <font>
      <b/>
      <i/>
      <sz val="9"/>
      <color rgb="FF000000"/>
      <name val="Raleway"/>
    </font>
    <font>
      <b/>
      <sz val="11"/>
      <color theme="1"/>
      <name val="Arial"/>
      <family val="2"/>
    </font>
    <font>
      <sz val="11"/>
      <name val="Arial"/>
      <family val="2"/>
    </font>
    <font>
      <b/>
      <sz val="11"/>
      <name val="Arial"/>
      <family val="2"/>
    </font>
    <font>
      <sz val="14"/>
      <color rgb="FF000000"/>
      <name val="Raleway"/>
    </font>
    <font>
      <b/>
      <sz val="18"/>
      <color rgb="FF000000"/>
      <name val="Raleway"/>
    </font>
    <font>
      <b/>
      <i/>
      <sz val="12"/>
      <color rgb="FF000000"/>
      <name val="Arial"/>
      <family val="2"/>
    </font>
    <font>
      <i/>
      <sz val="12"/>
      <color rgb="FF000000"/>
      <name val="Arial"/>
      <family val="2"/>
    </font>
    <font>
      <b/>
      <sz val="20"/>
      <color rgb="FF000000"/>
      <name val="Raleway"/>
    </font>
    <font>
      <sz val="20"/>
      <color rgb="FF000000"/>
      <name val="Raleway"/>
    </font>
    <font>
      <b/>
      <sz val="12"/>
      <name val="Raleway"/>
    </font>
    <font>
      <b/>
      <u/>
      <sz val="14"/>
      <color rgb="FF000000"/>
      <name val="Arial"/>
      <family val="2"/>
    </font>
    <font>
      <b/>
      <u/>
      <sz val="16"/>
      <color theme="0"/>
      <name val="Raleway"/>
    </font>
    <font>
      <sz val="14"/>
      <color theme="0"/>
      <name val="Raleway"/>
    </font>
    <font>
      <b/>
      <sz val="16"/>
      <color theme="0"/>
      <name val="Raleway"/>
    </font>
    <font>
      <sz val="9"/>
      <color rgb="FFFF0000"/>
      <name val="Arial"/>
      <family val="2"/>
    </font>
    <font>
      <b/>
      <u/>
      <sz val="10"/>
      <color rgb="FF000000"/>
      <name val="Arial"/>
      <family val="2"/>
    </font>
    <font>
      <b/>
      <sz val="10"/>
      <color theme="1"/>
      <name val="Arial"/>
      <family val="2"/>
    </font>
    <font>
      <b/>
      <sz val="14"/>
      <color rgb="FFFFFFFF"/>
      <name val="Arial"/>
      <family val="2"/>
    </font>
    <font>
      <b/>
      <i/>
      <sz val="14"/>
      <color rgb="FF000000"/>
      <name val="Raleway"/>
    </font>
    <font>
      <b/>
      <sz val="12"/>
      <name val="Arial"/>
      <family val="2"/>
    </font>
    <font>
      <b/>
      <sz val="11"/>
      <color rgb="FFFF0000"/>
      <name val="Raleway"/>
    </font>
  </fonts>
  <fills count="21">
    <fill>
      <patternFill patternType="none"/>
    </fill>
    <fill>
      <patternFill patternType="gray125"/>
    </fill>
    <fill>
      <patternFill patternType="solid">
        <fgColor rgb="FF4472C4"/>
        <bgColor rgb="FF4472C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bgColor rgb="FFDDDDDD"/>
      </patternFill>
    </fill>
    <fill>
      <patternFill patternType="solid">
        <fgColor theme="7"/>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
      <patternFill patternType="solid">
        <fgColor rgb="FF120B9D"/>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8"/>
        <bgColor indexed="64"/>
      </patternFill>
    </fill>
    <fill>
      <patternFill patternType="solid">
        <fgColor theme="8"/>
        <bgColor theme="4" tint="0.79998168889431442"/>
      </patternFill>
    </fill>
    <fill>
      <patternFill patternType="solid">
        <fgColor theme="1"/>
        <bgColor indexed="64"/>
      </patternFill>
    </fill>
  </fills>
  <borders count="61">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s>
  <cellStyleXfs count="6">
    <xf numFmtId="0" fontId="0" fillId="0" borderId="0"/>
    <xf numFmtId="0" fontId="1" fillId="2" borderId="0" applyNumberFormat="0" applyBorder="0" applyAlignment="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4" fontId="3" fillId="0" borderId="0" applyBorder="0" applyProtection="0"/>
  </cellStyleXfs>
  <cellXfs count="376">
    <xf numFmtId="0" fontId="0" fillId="0" borderId="0" xfId="0"/>
    <xf numFmtId="0" fontId="0" fillId="0" borderId="2" xfId="0" applyBorder="1" applyAlignment="1" applyProtection="1">
      <alignment horizontal="center"/>
      <protection hidden="1"/>
    </xf>
    <xf numFmtId="0" fontId="9" fillId="0" borderId="0" xfId="0" applyFont="1" applyAlignment="1" applyProtection="1">
      <alignment horizontal="center"/>
      <protection hidden="1"/>
    </xf>
    <xf numFmtId="0" fontId="0" fillId="0" borderId="0" xfId="0" applyProtection="1">
      <protection hidden="1"/>
    </xf>
    <xf numFmtId="0" fontId="4" fillId="0" borderId="0" xfId="0" applyFont="1" applyAlignment="1" applyProtection="1">
      <alignment horizontal="center"/>
      <protection hidden="1"/>
    </xf>
    <xf numFmtId="0" fontId="9" fillId="0" borderId="0" xfId="0" applyFont="1" applyAlignment="1" applyProtection="1">
      <alignment horizontal="center" wrapText="1"/>
      <protection hidden="1"/>
    </xf>
    <xf numFmtId="0" fontId="4" fillId="0" borderId="0" xfId="0" applyFont="1" applyAlignment="1" applyProtection="1">
      <alignment horizontal="center" vertical="center"/>
      <protection hidden="1"/>
    </xf>
    <xf numFmtId="0" fontId="24" fillId="0" borderId="0" xfId="0" applyFont="1" applyAlignment="1" applyProtection="1">
      <alignment vertical="center" shrinkToFit="1"/>
      <protection hidden="1"/>
    </xf>
    <xf numFmtId="0" fontId="23" fillId="0" borderId="0" xfId="0" applyFont="1" applyAlignment="1" applyProtection="1">
      <alignment vertical="center" shrinkToFit="1"/>
      <protection hidden="1"/>
    </xf>
    <xf numFmtId="0" fontId="23" fillId="0" borderId="0" xfId="0" applyFont="1" applyAlignment="1" applyProtection="1">
      <alignment horizontal="left" vertical="center" shrinkToFit="1"/>
      <protection hidden="1"/>
    </xf>
    <xf numFmtId="0" fontId="24" fillId="0" borderId="0" xfId="0" applyFont="1" applyAlignment="1" applyProtection="1">
      <alignment horizontal="left" vertical="center" shrinkToFit="1"/>
      <protection hidden="1"/>
    </xf>
    <xf numFmtId="0" fontId="24" fillId="0" borderId="0" xfId="0" applyFont="1" applyBorder="1" applyAlignment="1" applyProtection="1">
      <alignment vertical="center" shrinkToFit="1"/>
      <protection hidden="1"/>
    </xf>
    <xf numFmtId="0" fontId="15" fillId="12" borderId="0" xfId="0" applyFont="1" applyFill="1" applyBorder="1" applyProtection="1">
      <protection hidden="1"/>
    </xf>
    <xf numFmtId="0" fontId="15" fillId="12" borderId="0" xfId="0" applyFont="1" applyFill="1" applyBorder="1" applyAlignment="1" applyProtection="1">
      <alignment horizontal="center"/>
      <protection hidden="1"/>
    </xf>
    <xf numFmtId="0" fontId="16" fillId="12" borderId="0" xfId="0" applyFont="1" applyFill="1" applyBorder="1" applyAlignment="1" applyProtection="1">
      <alignment horizontal="center"/>
      <protection hidden="1"/>
    </xf>
    <xf numFmtId="0" fontId="23" fillId="0" borderId="17" xfId="0" applyFont="1" applyBorder="1" applyAlignment="1" applyProtection="1">
      <alignment horizontal="center" vertical="center" shrinkToFit="1"/>
      <protection hidden="1"/>
    </xf>
    <xf numFmtId="0" fontId="5" fillId="2" borderId="23" xfId="1" applyFont="1" applyFill="1" applyBorder="1" applyAlignment="1" applyProtection="1">
      <alignment horizontal="center"/>
      <protection hidden="1"/>
    </xf>
    <xf numFmtId="0" fontId="5" fillId="2" borderId="24" xfId="1" applyFont="1" applyFill="1" applyBorder="1" applyAlignment="1" applyProtection="1">
      <alignment horizontal="center"/>
      <protection hidden="1"/>
    </xf>
    <xf numFmtId="0" fontId="7" fillId="2" borderId="24" xfId="1" applyFont="1" applyFill="1" applyBorder="1" applyAlignment="1" applyProtection="1">
      <alignment horizontal="center"/>
      <protection hidden="1"/>
    </xf>
    <xf numFmtId="0" fontId="0" fillId="0" borderId="0" xfId="0" applyFont="1" applyAlignment="1" applyProtection="1">
      <alignment horizontal="center"/>
      <protection hidden="1"/>
    </xf>
    <xf numFmtId="0" fontId="13" fillId="0" borderId="0" xfId="0" applyFont="1" applyAlignment="1" applyProtection="1">
      <alignment horizontal="center" wrapText="1"/>
      <protection hidden="1"/>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hidden="1"/>
    </xf>
    <xf numFmtId="0" fontId="9" fillId="0" borderId="0" xfId="0" applyNumberFormat="1" applyFont="1" applyAlignment="1" applyProtection="1">
      <alignment horizontal="center" vertical="center"/>
      <protection hidden="1"/>
    </xf>
    <xf numFmtId="0" fontId="12" fillId="0" borderId="0" xfId="0" applyFont="1" applyAlignment="1" applyProtection="1">
      <alignment horizontal="center"/>
      <protection hidden="1"/>
    </xf>
    <xf numFmtId="0" fontId="19" fillId="0" borderId="0" xfId="0" applyFont="1" applyProtection="1">
      <protection hidden="1"/>
    </xf>
    <xf numFmtId="0" fontId="19" fillId="0" borderId="0" xfId="0" applyFont="1" applyBorder="1" applyProtection="1">
      <protection hidden="1"/>
    </xf>
    <xf numFmtId="0" fontId="19" fillId="0" borderId="0" xfId="0" applyFont="1" applyBorder="1" applyAlignment="1" applyProtection="1">
      <alignment horizontal="center"/>
      <protection hidden="1"/>
    </xf>
    <xf numFmtId="0" fontId="19"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0" fontId="0" fillId="0" borderId="0" xfId="0" applyBorder="1" applyProtection="1">
      <protection hidden="1"/>
    </xf>
    <xf numFmtId="0" fontId="15" fillId="0" borderId="0" xfId="0" applyFont="1" applyProtection="1">
      <protection hidden="1"/>
    </xf>
    <xf numFmtId="0" fontId="0" fillId="0" borderId="0" xfId="0" applyAlignment="1" applyProtection="1">
      <alignment horizontal="center"/>
      <protection hidden="1"/>
    </xf>
    <xf numFmtId="0" fontId="15" fillId="0" borderId="0" xfId="0" applyFont="1" applyBorder="1" applyProtection="1">
      <protection hidden="1"/>
    </xf>
    <xf numFmtId="0" fontId="15" fillId="0" borderId="0" xfId="0" applyFont="1" applyBorder="1" applyAlignment="1" applyProtection="1">
      <alignment horizontal="center"/>
      <protection hidden="1"/>
    </xf>
    <xf numFmtId="0" fontId="15" fillId="0" borderId="0" xfId="0" applyFont="1" applyAlignment="1" applyProtection="1">
      <alignment horizontal="center"/>
      <protection hidden="1"/>
    </xf>
    <xf numFmtId="0" fontId="0" fillId="0" borderId="0" xfId="0" applyBorder="1" applyAlignment="1" applyProtection="1">
      <alignment horizontal="center"/>
      <protection hidden="1"/>
    </xf>
    <xf numFmtId="0" fontId="5" fillId="2" borderId="24" xfId="1" applyFont="1" applyFill="1" applyBorder="1" applyAlignment="1" applyProtection="1">
      <alignment horizontal="center" vertical="center"/>
      <protection hidden="1"/>
    </xf>
    <xf numFmtId="0" fontId="7" fillId="2" borderId="25" xfId="1" applyFont="1" applyFill="1" applyBorder="1" applyAlignment="1" applyProtection="1">
      <alignment horizont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49" fontId="4" fillId="0" borderId="0" xfId="0" applyNumberFormat="1" applyFont="1" applyAlignment="1" applyProtection="1">
      <alignment horizontal="center"/>
      <protection hidden="1"/>
    </xf>
    <xf numFmtId="49" fontId="4" fillId="0" borderId="1"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49" fontId="4" fillId="0" borderId="1" xfId="0" applyNumberFormat="1" applyFont="1" applyBorder="1" applyAlignment="1" applyProtection="1">
      <alignment horizontal="center" wrapText="1"/>
      <protection hidden="1"/>
    </xf>
    <xf numFmtId="0" fontId="4" fillId="0" borderId="1" xfId="0" applyFont="1" applyBorder="1" applyAlignment="1" applyProtection="1">
      <alignment horizontal="center" wrapText="1"/>
      <protection hidden="1"/>
    </xf>
    <xf numFmtId="49" fontId="4" fillId="0" borderId="0" xfId="0" applyNumberFormat="1" applyFont="1" applyBorder="1" applyAlignment="1" applyProtection="1">
      <alignment horizontal="center" wrapText="1"/>
      <protection hidden="1"/>
    </xf>
    <xf numFmtId="49" fontId="4" fillId="0" borderId="0" xfId="0" applyNumberFormat="1" applyFont="1" applyBorder="1" applyAlignment="1" applyProtection="1">
      <alignment horizontal="center"/>
      <protection hidden="1"/>
    </xf>
    <xf numFmtId="0" fontId="4" fillId="0" borderId="0" xfId="0" applyFont="1" applyBorder="1" applyAlignment="1" applyProtection="1">
      <alignment horizontal="center" wrapText="1"/>
      <protection hidden="1"/>
    </xf>
    <xf numFmtId="0" fontId="8" fillId="0" borderId="0" xfId="0" applyFont="1" applyAlignment="1" applyProtection="1">
      <alignment horizontal="center"/>
      <protection hidden="1"/>
    </xf>
    <xf numFmtId="0" fontId="11" fillId="0" borderId="0" xfId="0" applyFont="1" applyAlignment="1" applyProtection="1">
      <alignment horizontal="center" wrapText="1"/>
      <protection hidden="1"/>
    </xf>
    <xf numFmtId="0" fontId="0" fillId="0" borderId="0" xfId="0" applyFont="1" applyAlignment="1" applyProtection="1">
      <alignment horizontal="center" wrapText="1"/>
      <protection hidden="1"/>
    </xf>
    <xf numFmtId="0" fontId="9" fillId="0" borderId="17" xfId="0" applyFont="1" applyBorder="1" applyProtection="1">
      <protection hidden="1"/>
    </xf>
    <xf numFmtId="0" fontId="25" fillId="0" borderId="0" xfId="0" applyFont="1" applyAlignment="1" applyProtection="1">
      <alignment shrinkToFit="1"/>
      <protection hidden="1"/>
    </xf>
    <xf numFmtId="0" fontId="28" fillId="0" borderId="0" xfId="0" applyFont="1" applyAlignment="1" applyProtection="1">
      <alignment horizontal="center"/>
      <protection hidden="1"/>
    </xf>
    <xf numFmtId="0" fontId="25" fillId="0" borderId="17" xfId="0" applyFont="1" applyBorder="1" applyAlignment="1" applyProtection="1">
      <alignment shrinkToFit="1"/>
      <protection hidden="1"/>
    </xf>
    <xf numFmtId="0" fontId="2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26" fillId="0" borderId="0" xfId="0" applyFont="1" applyAlignment="1" applyProtection="1">
      <alignment vertical="center" shrinkToFit="1"/>
      <protection hidden="1"/>
    </xf>
    <xf numFmtId="0" fontId="0" fillId="0" borderId="0" xfId="0" applyFont="1" applyProtection="1">
      <protection hidden="1"/>
    </xf>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0" fillId="0" borderId="0" xfId="0" quotePrefix="1" applyProtection="1">
      <protection hidden="1"/>
    </xf>
    <xf numFmtId="0" fontId="32" fillId="0" borderId="0" xfId="0" applyFont="1" applyProtection="1">
      <protection hidden="1"/>
    </xf>
    <xf numFmtId="0" fontId="29" fillId="0" borderId="0" xfId="0" applyFont="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0" fillId="16" borderId="11" xfId="0" applyFill="1" applyBorder="1" applyAlignment="1" applyProtection="1">
      <alignment horizontal="left"/>
      <protection hidden="1"/>
    </xf>
    <xf numFmtId="0" fontId="15" fillId="0" borderId="9" xfId="0" applyFont="1" applyBorder="1" applyAlignment="1" applyProtection="1">
      <alignment vertical="center"/>
      <protection locked="0"/>
    </xf>
    <xf numFmtId="0" fontId="15" fillId="15" borderId="6" xfId="0" applyFont="1" applyFill="1" applyBorder="1" applyProtection="1">
      <protection hidden="1"/>
    </xf>
    <xf numFmtId="0" fontId="15" fillId="15" borderId="8" xfId="0" applyFont="1" applyFill="1" applyBorder="1" applyProtection="1">
      <protection hidden="1"/>
    </xf>
    <xf numFmtId="0" fontId="15" fillId="15" borderId="7" xfId="0" applyFont="1" applyFill="1" applyBorder="1" applyProtection="1">
      <protection hidden="1"/>
    </xf>
    <xf numFmtId="0" fontId="15" fillId="15" borderId="10" xfId="0" applyFont="1" applyFill="1" applyBorder="1" applyProtection="1">
      <protection hidden="1"/>
    </xf>
    <xf numFmtId="49" fontId="40" fillId="0" borderId="0" xfId="0" applyNumberFormat="1" applyFont="1" applyFill="1" applyBorder="1" applyAlignment="1">
      <alignment horizontal="left" vertical="center"/>
    </xf>
    <xf numFmtId="49" fontId="40" fillId="0" borderId="0" xfId="0" applyNumberFormat="1" applyFont="1" applyFill="1" applyBorder="1" applyAlignment="1">
      <alignment horizontal="left" vertical="center" wrapText="1"/>
    </xf>
    <xf numFmtId="0" fontId="4" fillId="0" borderId="0" xfId="0" applyFont="1" applyFill="1" applyBorder="1" applyAlignment="1" applyProtection="1">
      <alignment horizontal="left" vertical="center"/>
      <protection hidden="1"/>
    </xf>
    <xf numFmtId="0" fontId="0" fillId="0" borderId="0" xfId="0" applyFill="1" applyBorder="1" applyProtection="1">
      <protection hidden="1"/>
    </xf>
    <xf numFmtId="0" fontId="40" fillId="0" borderId="0" xfId="0" applyFont="1" applyFill="1" applyBorder="1" applyAlignment="1">
      <alignment horizontal="center"/>
    </xf>
    <xf numFmtId="0" fontId="0" fillId="0" borderId="0" xfId="0" applyFill="1" applyBorder="1" applyAlignment="1" applyProtection="1">
      <alignment horizontal="left"/>
      <protection hidden="1"/>
    </xf>
    <xf numFmtId="49" fontId="40" fillId="0" borderId="0" xfId="0" applyNumberFormat="1" applyFont="1" applyFill="1" applyBorder="1" applyAlignment="1">
      <alignment horizontal="left"/>
    </xf>
    <xf numFmtId="49" fontId="40" fillId="0" borderId="0" xfId="0" applyNumberFormat="1" applyFont="1" applyFill="1" applyBorder="1" applyAlignment="1">
      <alignment horizontal="left" wrapText="1"/>
    </xf>
    <xf numFmtId="0" fontId="12" fillId="0" borderId="0" xfId="0" applyFont="1" applyFill="1" applyBorder="1" applyAlignment="1" applyProtection="1">
      <alignment horizontal="left" vertical="center"/>
      <protection hidden="1"/>
    </xf>
    <xf numFmtId="0" fontId="41" fillId="12" borderId="0" xfId="0" applyFont="1" applyFill="1" applyBorder="1" applyAlignment="1" applyProtection="1">
      <alignment horizontal="left"/>
      <protection hidden="1"/>
    </xf>
    <xf numFmtId="0" fontId="14" fillId="0" borderId="0" xfId="0" applyFont="1" applyFill="1" applyBorder="1" applyAlignment="1" applyProtection="1">
      <alignment horizontal="center" shrinkToFit="1"/>
      <protection hidden="1"/>
    </xf>
    <xf numFmtId="0" fontId="14" fillId="0" borderId="0" xfId="0" applyFont="1" applyFill="1" applyBorder="1" applyAlignment="1" applyProtection="1">
      <alignment horizontal="center" vertical="top"/>
      <protection locked="0"/>
    </xf>
    <xf numFmtId="0" fontId="14" fillId="12" borderId="0" xfId="0" applyFont="1" applyFill="1" applyBorder="1" applyAlignment="1" applyProtection="1">
      <alignment horizontal="center" shrinkToFit="1"/>
      <protection hidden="1"/>
    </xf>
    <xf numFmtId="0" fontId="27" fillId="0" borderId="17" xfId="0" applyFont="1" applyBorder="1" applyAlignment="1" applyProtection="1">
      <alignment horizontal="center" vertical="center"/>
      <protection hidden="1"/>
    </xf>
    <xf numFmtId="0" fontId="0" fillId="0" borderId="0" xfId="0" applyAlignment="1" applyProtection="1">
      <alignment shrinkToFit="1"/>
      <protection hidden="1"/>
    </xf>
    <xf numFmtId="0" fontId="0" fillId="0" borderId="17" xfId="0" applyBorder="1" applyAlignment="1" applyProtection="1">
      <alignment shrinkToFit="1"/>
      <protection hidden="1"/>
    </xf>
    <xf numFmtId="0" fontId="0" fillId="0" borderId="0" xfId="0" applyBorder="1" applyAlignment="1" applyProtection="1">
      <alignment shrinkToFit="1"/>
      <protection hidden="1"/>
    </xf>
    <xf numFmtId="0" fontId="9" fillId="0" borderId="0" xfId="0" applyFont="1" applyBorder="1" applyProtection="1">
      <protection hidden="1"/>
    </xf>
    <xf numFmtId="0" fontId="9" fillId="0" borderId="0" xfId="0" applyNumberFormat="1"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NumberFormat="1" applyFont="1" applyAlignment="1" applyProtection="1">
      <alignment horizontal="center" wrapText="1"/>
      <protection hidden="1"/>
    </xf>
    <xf numFmtId="0" fontId="4" fillId="0" borderId="0" xfId="0" applyFont="1" applyBorder="1" applyAlignment="1" applyProtection="1">
      <alignment horizontal="center" vertical="center" shrinkToFit="1"/>
      <protection hidden="1"/>
    </xf>
    <xf numFmtId="0" fontId="4" fillId="0" borderId="17" xfId="0" applyFont="1" applyBorder="1" applyAlignment="1" applyProtection="1">
      <alignment horizontal="center" vertical="center"/>
      <protection hidden="1"/>
    </xf>
    <xf numFmtId="0" fontId="25" fillId="0" borderId="0" xfId="0" applyFont="1" applyBorder="1" applyAlignment="1" applyProtection="1">
      <alignment shrinkToFit="1"/>
      <protection hidden="1"/>
    </xf>
    <xf numFmtId="0" fontId="24" fillId="0" borderId="17" xfId="0" applyFont="1" applyBorder="1" applyAlignment="1" applyProtection="1">
      <alignment vertical="center" shrinkToFit="1"/>
      <protection hidden="1"/>
    </xf>
    <xf numFmtId="0" fontId="25" fillId="0" borderId="17" xfId="0" applyFont="1" applyBorder="1" applyAlignment="1" applyProtection="1">
      <alignment vertical="center" shrinkToFit="1"/>
      <protection hidden="1"/>
    </xf>
    <xf numFmtId="0" fontId="27" fillId="18" borderId="0" xfId="0" applyFont="1" applyFill="1" applyBorder="1" applyAlignment="1" applyProtection="1">
      <alignment horizontal="center" shrinkToFit="1"/>
      <protection hidden="1"/>
    </xf>
    <xf numFmtId="0" fontId="40" fillId="19" borderId="23" xfId="0" applyFont="1" applyFill="1" applyBorder="1" applyAlignment="1">
      <alignment horizontal="center" vertical="center" shrinkToFit="1"/>
    </xf>
    <xf numFmtId="0" fontId="40" fillId="18" borderId="23" xfId="0" applyFont="1" applyFill="1" applyBorder="1" applyAlignment="1">
      <alignment horizontal="center" vertical="center" shrinkToFit="1"/>
    </xf>
    <xf numFmtId="0" fontId="4" fillId="0" borderId="0" xfId="0" applyFont="1" applyBorder="1" applyAlignment="1" applyProtection="1">
      <alignment horizontal="center" shrinkToFit="1"/>
      <protection hidden="1"/>
    </xf>
    <xf numFmtId="0" fontId="42" fillId="0" borderId="0" xfId="0" applyFont="1" applyBorder="1" applyAlignment="1" applyProtection="1">
      <alignment horizontal="center" vertical="center" shrinkToFit="1"/>
      <protection hidden="1"/>
    </xf>
    <xf numFmtId="0" fontId="17" fillId="0" borderId="18" xfId="0" applyFont="1" applyBorder="1" applyAlignment="1" applyProtection="1">
      <alignment horizontal="center" wrapText="1" shrinkToFit="1"/>
      <protection hidden="1"/>
    </xf>
    <xf numFmtId="0" fontId="17" fillId="0" borderId="2" xfId="0" applyFont="1" applyBorder="1" applyAlignment="1" applyProtection="1">
      <alignment horizontal="center" wrapText="1"/>
      <protection hidden="1"/>
    </xf>
    <xf numFmtId="0" fontId="17" fillId="0" borderId="22" xfId="0" applyFont="1" applyBorder="1" applyAlignment="1" applyProtection="1">
      <alignment horizontal="center" wrapText="1"/>
      <protection hidden="1"/>
    </xf>
    <xf numFmtId="0" fontId="4" fillId="0" borderId="0" xfId="0" applyFont="1" applyAlignment="1" applyProtection="1">
      <alignment horizontal="left"/>
      <protection hidden="1"/>
    </xf>
    <xf numFmtId="0" fontId="15" fillId="0" borderId="48" xfId="0" applyFont="1" applyBorder="1" applyAlignment="1" applyProtection="1">
      <alignment vertical="center"/>
      <protection locked="0"/>
    </xf>
    <xf numFmtId="0" fontId="15" fillId="0" borderId="49" xfId="0" applyFont="1" applyBorder="1" applyAlignment="1" applyProtection="1">
      <alignment vertical="center"/>
      <protection locked="0"/>
    </xf>
    <xf numFmtId="0" fontId="15" fillId="14" borderId="26" xfId="0" applyFont="1" applyFill="1" applyBorder="1" applyProtection="1">
      <protection hidden="1"/>
    </xf>
    <xf numFmtId="0" fontId="15" fillId="14" borderId="52" xfId="0" applyFont="1" applyFill="1" applyBorder="1" applyProtection="1">
      <protection hidden="1"/>
    </xf>
    <xf numFmtId="0" fontId="15" fillId="14" borderId="27" xfId="0" applyFont="1" applyFill="1" applyBorder="1" applyProtection="1">
      <protection hidden="1"/>
    </xf>
    <xf numFmtId="0" fontId="14" fillId="14" borderId="47" xfId="0" applyFont="1" applyFill="1" applyBorder="1" applyAlignment="1" applyProtection="1">
      <alignment horizontal="center" vertical="center"/>
      <protection hidden="1"/>
    </xf>
    <xf numFmtId="0" fontId="34" fillId="0" borderId="18" xfId="0" quotePrefix="1" applyFont="1" applyBorder="1" applyAlignment="1" applyProtection="1">
      <alignment horizontal="center" vertical="center"/>
      <protection hidden="1"/>
    </xf>
    <xf numFmtId="0" fontId="34" fillId="12" borderId="18" xfId="0" applyFont="1" applyFill="1" applyBorder="1" applyAlignment="1" applyProtection="1">
      <alignment horizontal="center" vertical="center"/>
      <protection hidden="1"/>
    </xf>
    <xf numFmtId="0" fontId="34" fillId="12" borderId="2" xfId="0" applyFont="1" applyFill="1" applyBorder="1" applyAlignment="1" applyProtection="1">
      <alignment horizontal="center" vertical="center"/>
      <protection hidden="1"/>
    </xf>
    <xf numFmtId="0" fontId="15" fillId="0" borderId="39" xfId="0" applyFont="1" applyBorder="1" applyAlignment="1" applyProtection="1">
      <alignment horizontal="center" vertical="center"/>
      <protection locked="0" hidden="1"/>
    </xf>
    <xf numFmtId="0" fontId="15" fillId="0" borderId="3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55" xfId="0" applyFont="1" applyBorder="1" applyAlignment="1" applyProtection="1">
      <alignment horizontal="center" vertical="center"/>
      <protection locked="0" hidden="1"/>
    </xf>
    <xf numFmtId="0" fontId="45" fillId="16" borderId="12" xfId="0" applyFont="1" applyFill="1" applyBorder="1" applyAlignment="1" applyProtection="1">
      <alignment horizontal="left" vertical="center"/>
      <protection hidden="1"/>
    </xf>
    <xf numFmtId="0" fontId="46" fillId="16" borderId="12" xfId="0" applyFont="1" applyFill="1" applyBorder="1" applyAlignment="1" applyProtection="1">
      <alignment horizontal="center"/>
      <protection hidden="1"/>
    </xf>
    <xf numFmtId="0" fontId="46" fillId="16" borderId="12" xfId="0" applyFont="1" applyFill="1" applyBorder="1" applyProtection="1">
      <protection hidden="1"/>
    </xf>
    <xf numFmtId="0" fontId="34" fillId="5" borderId="32" xfId="0" applyFont="1" applyFill="1" applyBorder="1" applyAlignment="1" applyProtection="1">
      <alignment horizontal="center" vertical="center" shrinkToFit="1"/>
      <protection hidden="1"/>
    </xf>
    <xf numFmtId="0" fontId="34" fillId="5" borderId="33" xfId="0" applyFont="1" applyFill="1" applyBorder="1" applyAlignment="1" applyProtection="1">
      <alignment horizontal="center" vertical="center" shrinkToFit="1"/>
      <protection hidden="1"/>
    </xf>
    <xf numFmtId="0" fontId="34" fillId="5" borderId="34" xfId="0" applyFont="1" applyFill="1" applyBorder="1" applyAlignment="1" applyProtection="1">
      <alignment horizontal="center" vertical="center" shrinkToFit="1"/>
      <protection hidden="1"/>
    </xf>
    <xf numFmtId="0" fontId="20" fillId="14" borderId="43" xfId="0" applyFont="1" applyFill="1" applyBorder="1" applyAlignment="1" applyProtection="1">
      <alignment horizontal="center" vertical="center" shrinkToFit="1"/>
      <protection hidden="1"/>
    </xf>
    <xf numFmtId="0" fontId="20" fillId="14" borderId="44" xfId="0" applyFont="1" applyFill="1" applyBorder="1" applyAlignment="1" applyProtection="1">
      <alignment horizontal="center" vertical="center" shrinkToFit="1"/>
      <protection hidden="1"/>
    </xf>
    <xf numFmtId="0" fontId="20" fillId="14" borderId="45" xfId="0" applyFont="1" applyFill="1" applyBorder="1" applyAlignment="1" applyProtection="1">
      <alignment horizontal="center" vertical="center" shrinkToFit="1"/>
      <protection hidden="1"/>
    </xf>
    <xf numFmtId="0" fontId="20" fillId="12" borderId="0" xfId="0" applyFont="1" applyFill="1" applyBorder="1" applyAlignment="1" applyProtection="1">
      <alignment horizontal="right" vertical="center" shrinkToFit="1"/>
      <protection hidden="1"/>
    </xf>
    <xf numFmtId="0" fontId="20" fillId="0" borderId="0" xfId="0" applyFont="1" applyAlignment="1" applyProtection="1">
      <alignment horizontal="right" vertical="center" shrinkToFit="1"/>
      <protection hidden="1"/>
    </xf>
    <xf numFmtId="0" fontId="18" fillId="14" borderId="47" xfId="0" applyFont="1" applyFill="1" applyBorder="1" applyAlignment="1" applyProtection="1">
      <alignment horizontal="center" vertical="center" shrinkToFit="1"/>
      <protection hidden="1"/>
    </xf>
    <xf numFmtId="0" fontId="14" fillId="14" borderId="11" xfId="0" applyFont="1" applyFill="1" applyBorder="1" applyAlignment="1" applyProtection="1">
      <alignment horizontal="center" vertical="center"/>
      <protection hidden="1"/>
    </xf>
    <xf numFmtId="0" fontId="15" fillId="14" borderId="26" xfId="0" applyFont="1" applyFill="1" applyBorder="1" applyAlignment="1" applyProtection="1">
      <alignment vertical="center"/>
      <protection hidden="1"/>
    </xf>
    <xf numFmtId="0" fontId="22" fillId="9" borderId="11" xfId="0" applyFont="1" applyFill="1" applyBorder="1" applyAlignment="1" applyProtection="1">
      <alignment horizontal="right" vertical="center"/>
      <protection locked="0"/>
    </xf>
    <xf numFmtId="0" fontId="43" fillId="14" borderId="52" xfId="0" applyFont="1" applyFill="1" applyBorder="1" applyAlignment="1" applyProtection="1">
      <alignment vertical="center"/>
      <protection hidden="1"/>
    </xf>
    <xf numFmtId="0" fontId="43" fillId="14" borderId="27" xfId="0" applyFont="1" applyFill="1" applyBorder="1" applyAlignment="1" applyProtection="1">
      <alignment vertical="center"/>
      <protection hidden="1"/>
    </xf>
    <xf numFmtId="0" fontId="43" fillId="13" borderId="17" xfId="0" applyFont="1" applyFill="1" applyBorder="1" applyAlignment="1" applyProtection="1">
      <alignment horizontal="center" vertical="center" shrinkToFit="1"/>
      <protection hidden="1"/>
    </xf>
    <xf numFmtId="0" fontId="43" fillId="13" borderId="50" xfId="0" applyFont="1" applyFill="1" applyBorder="1" applyAlignment="1" applyProtection="1">
      <alignment horizontal="center" vertical="center" shrinkToFit="1"/>
      <protection hidden="1"/>
    </xf>
    <xf numFmtId="0" fontId="43" fillId="13" borderId="51" xfId="0" applyFont="1" applyFill="1" applyBorder="1" applyAlignment="1" applyProtection="1">
      <alignment horizontal="center" vertical="center" shrinkToFit="1"/>
      <protection hidden="1"/>
    </xf>
    <xf numFmtId="0" fontId="43" fillId="13" borderId="15" xfId="0" applyFont="1" applyFill="1" applyBorder="1" applyAlignment="1" applyProtection="1">
      <alignment horizontal="center" vertical="center" shrinkToFit="1"/>
      <protection hidden="1"/>
    </xf>
    <xf numFmtId="0" fontId="43" fillId="13" borderId="18" xfId="0" applyFont="1" applyFill="1" applyBorder="1" applyAlignment="1" applyProtection="1">
      <alignment horizontal="center" vertical="center" shrinkToFit="1"/>
      <protection hidden="1"/>
    </xf>
    <xf numFmtId="0" fontId="43" fillId="13" borderId="53" xfId="0" applyFont="1" applyFill="1" applyBorder="1" applyAlignment="1" applyProtection="1">
      <alignment horizontal="center" vertical="center" shrinkToFit="1"/>
      <protection hidden="1"/>
    </xf>
    <xf numFmtId="0" fontId="43" fillId="13" borderId="16" xfId="0" applyFont="1" applyFill="1" applyBorder="1" applyAlignment="1" applyProtection="1">
      <alignment horizontal="center" vertical="center" shrinkToFit="1"/>
      <protection hidden="1"/>
    </xf>
    <xf numFmtId="0" fontId="43" fillId="13" borderId="2" xfId="0" applyFont="1" applyFill="1" applyBorder="1" applyAlignment="1" applyProtection="1">
      <alignment horizontal="center" vertical="center" shrinkToFit="1"/>
      <protection hidden="1"/>
    </xf>
    <xf numFmtId="0" fontId="43" fillId="13" borderId="41" xfId="0" applyFont="1" applyFill="1" applyBorder="1" applyAlignment="1" applyProtection="1">
      <alignment horizontal="center" vertical="center" shrinkToFit="1"/>
      <protection hidden="1"/>
    </xf>
    <xf numFmtId="0" fontId="43" fillId="13" borderId="22" xfId="0" applyFont="1" applyFill="1" applyBorder="1" applyAlignment="1" applyProtection="1">
      <alignment horizontal="center" vertical="center" shrinkToFit="1"/>
      <protection hidden="1"/>
    </xf>
    <xf numFmtId="0" fontId="43" fillId="13" borderId="54" xfId="0" applyFont="1" applyFill="1" applyBorder="1" applyAlignment="1" applyProtection="1">
      <alignment horizontal="center" vertical="center" shrinkToFit="1"/>
      <protection hidden="1"/>
    </xf>
    <xf numFmtId="0" fontId="14" fillId="14" borderId="13" xfId="0" applyFont="1" applyFill="1" applyBorder="1" applyAlignment="1" applyProtection="1">
      <alignment horizontal="center" vertical="center"/>
      <protection hidden="1"/>
    </xf>
    <xf numFmtId="0" fontId="43" fillId="13" borderId="14" xfId="0" applyFont="1" applyFill="1" applyBorder="1" applyAlignment="1" applyProtection="1">
      <alignment horizontal="center" vertical="center" shrinkToFit="1"/>
      <protection hidden="1"/>
    </xf>
    <xf numFmtId="0" fontId="35" fillId="5" borderId="22" xfId="0" applyFont="1" applyFill="1" applyBorder="1" applyAlignment="1" applyProtection="1">
      <alignment horizontal="center" vertical="center" shrinkToFit="1"/>
      <protection hidden="1"/>
    </xf>
    <xf numFmtId="49" fontId="0" fillId="0" borderId="0" xfId="0" applyNumberFormat="1"/>
    <xf numFmtId="49" fontId="0" fillId="13" borderId="6" xfId="0" applyNumberFormat="1" applyFill="1" applyBorder="1"/>
    <xf numFmtId="49" fontId="0" fillId="13" borderId="0" xfId="0" applyNumberFormat="1" applyFill="1" applyBorder="1"/>
    <xf numFmtId="49" fontId="0" fillId="13" borderId="7" xfId="0" applyNumberFormat="1" applyFill="1" applyBorder="1"/>
    <xf numFmtId="49" fontId="0" fillId="13" borderId="0" xfId="0" applyNumberFormat="1" applyFill="1" applyBorder="1" applyAlignment="1">
      <alignment wrapText="1"/>
    </xf>
    <xf numFmtId="49" fontId="0" fillId="13" borderId="7" xfId="0" applyNumberFormat="1" applyFill="1" applyBorder="1" applyAlignment="1">
      <alignment wrapText="1"/>
    </xf>
    <xf numFmtId="49" fontId="0" fillId="13" borderId="6" xfId="0" applyNumberFormat="1" applyFill="1" applyBorder="1" applyAlignment="1">
      <alignment wrapText="1"/>
    </xf>
    <xf numFmtId="49" fontId="50" fillId="13" borderId="6" xfId="0" applyNumberFormat="1" applyFont="1" applyFill="1" applyBorder="1"/>
    <xf numFmtId="49" fontId="4" fillId="13" borderId="6" xfId="0" applyNumberFormat="1" applyFont="1" applyFill="1" applyBorder="1"/>
    <xf numFmtId="49" fontId="0" fillId="13" borderId="8" xfId="0" applyNumberFormat="1" applyFill="1" applyBorder="1"/>
    <xf numFmtId="49" fontId="0" fillId="13" borderId="9" xfId="0" applyNumberFormat="1" applyFill="1" applyBorder="1"/>
    <xf numFmtId="49" fontId="0" fillId="13" borderId="10" xfId="0" applyNumberFormat="1" applyFill="1" applyBorder="1"/>
    <xf numFmtId="0" fontId="0" fillId="16" borderId="12" xfId="0" applyFill="1" applyBorder="1" applyAlignment="1" applyProtection="1">
      <alignment horizontal="center"/>
      <protection hidden="1"/>
    </xf>
    <xf numFmtId="0" fontId="34" fillId="8" borderId="12" xfId="0" applyFont="1" applyFill="1" applyBorder="1" applyAlignment="1" applyProtection="1">
      <alignment horizontal="center" vertical="center" shrinkToFit="1"/>
      <protection hidden="1"/>
    </xf>
    <xf numFmtId="0" fontId="18" fillId="7" borderId="13" xfId="0" applyFont="1" applyFill="1" applyBorder="1" applyAlignment="1" applyProtection="1">
      <alignment horizontal="center" vertical="center" shrinkToFit="1"/>
      <protection hidden="1"/>
    </xf>
    <xf numFmtId="0" fontId="53" fillId="15" borderId="14" xfId="0" quotePrefix="1" applyFont="1" applyFill="1" applyBorder="1" applyAlignment="1" applyProtection="1">
      <alignment horizontal="center" vertical="center"/>
      <protection hidden="1"/>
    </xf>
    <xf numFmtId="49" fontId="54" fillId="0" borderId="0" xfId="0" applyNumberFormat="1" applyFont="1" applyFill="1"/>
    <xf numFmtId="49" fontId="32" fillId="0" borderId="0" xfId="0" applyNumberFormat="1" applyFont="1" applyFill="1"/>
    <xf numFmtId="49" fontId="0" fillId="13" borderId="3" xfId="0" applyNumberFormat="1" applyFill="1" applyBorder="1"/>
    <xf numFmtId="49" fontId="0" fillId="13" borderId="4" xfId="0" applyNumberFormat="1" applyFill="1" applyBorder="1"/>
    <xf numFmtId="49" fontId="0" fillId="13" borderId="5" xfId="0" applyNumberFormat="1" applyFill="1" applyBorder="1"/>
    <xf numFmtId="49" fontId="33" fillId="13" borderId="6" xfId="0" applyNumberFormat="1" applyFont="1" applyFill="1" applyBorder="1"/>
    <xf numFmtId="0" fontId="18" fillId="5" borderId="27" xfId="0" applyFont="1" applyFill="1" applyBorder="1" applyAlignment="1" applyProtection="1">
      <alignment horizontal="center" vertical="center" shrinkToFit="1"/>
      <protection locked="0"/>
    </xf>
    <xf numFmtId="0" fontId="18" fillId="5" borderId="47" xfId="0" applyFont="1" applyFill="1" applyBorder="1" applyAlignment="1" applyProtection="1">
      <alignment horizontal="center" vertical="center" shrinkToFit="1"/>
      <protection locked="0"/>
    </xf>
    <xf numFmtId="0" fontId="34" fillId="3" borderId="18" xfId="0" applyFont="1" applyFill="1" applyBorder="1" applyAlignment="1" applyProtection="1">
      <alignment horizontal="center" vertical="center"/>
      <protection locked="0" hidden="1"/>
    </xf>
    <xf numFmtId="0" fontId="34" fillId="4" borderId="18" xfId="0" applyFont="1" applyFill="1" applyBorder="1" applyAlignment="1" applyProtection="1">
      <alignment horizontal="center" vertical="center"/>
      <protection locked="0" hidden="1"/>
    </xf>
    <xf numFmtId="0" fontId="34" fillId="3" borderId="2" xfId="0" applyFont="1" applyFill="1" applyBorder="1" applyAlignment="1" applyProtection="1">
      <alignment horizontal="center" vertical="center"/>
      <protection locked="0" hidden="1"/>
    </xf>
    <xf numFmtId="0" fontId="34" fillId="4" borderId="2" xfId="0" applyFont="1" applyFill="1" applyBorder="1" applyAlignment="1" applyProtection="1">
      <alignment horizontal="center" vertical="center"/>
      <protection locked="0" hidden="1"/>
    </xf>
    <xf numFmtId="0" fontId="34" fillId="3" borderId="22" xfId="0" applyFont="1" applyFill="1" applyBorder="1" applyAlignment="1" applyProtection="1">
      <alignment horizontal="center" vertical="center"/>
      <protection locked="0" hidden="1"/>
    </xf>
    <xf numFmtId="0" fontId="34" fillId="3" borderId="35" xfId="0" applyFont="1" applyFill="1" applyBorder="1" applyAlignment="1" applyProtection="1">
      <alignment horizontal="center" vertical="center"/>
      <protection locked="0" hidden="1"/>
    </xf>
    <xf numFmtId="0" fontId="15" fillId="0" borderId="39" xfId="0" quotePrefix="1" applyFont="1" applyBorder="1" applyAlignment="1" applyProtection="1">
      <alignment horizontal="center" vertical="center"/>
      <protection locked="0" hidden="1"/>
    </xf>
    <xf numFmtId="0" fontId="15" fillId="0" borderId="36" xfId="0" applyFont="1" applyBorder="1" applyAlignment="1" applyProtection="1">
      <alignment horizontal="center" vertical="center"/>
      <protection locked="0" hidden="1"/>
    </xf>
    <xf numFmtId="0" fontId="14" fillId="0" borderId="15" xfId="0" quotePrefix="1" applyFont="1" applyBorder="1" applyAlignment="1" applyProtection="1">
      <alignment horizontal="center" vertical="center"/>
      <protection locked="0"/>
    </xf>
    <xf numFmtId="0" fontId="14" fillId="0" borderId="16" xfId="0" quotePrefix="1" applyFont="1" applyBorder="1" applyAlignment="1" applyProtection="1">
      <alignment horizontal="center" vertical="center"/>
      <protection locked="0"/>
    </xf>
    <xf numFmtId="0" fontId="14" fillId="0" borderId="41" xfId="0" quotePrefix="1"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44" fillId="9" borderId="8" xfId="0" applyFont="1" applyFill="1" applyBorder="1" applyAlignment="1" applyProtection="1">
      <alignment horizontal="right"/>
      <protection locked="0" hidden="1"/>
    </xf>
    <xf numFmtId="0" fontId="34" fillId="4" borderId="35" xfId="0" applyFont="1" applyFill="1" applyBorder="1" applyAlignment="1" applyProtection="1">
      <alignment horizontal="center" vertical="center"/>
      <protection locked="0" hidden="1"/>
    </xf>
    <xf numFmtId="0" fontId="34" fillId="12" borderId="35" xfId="0" applyFont="1" applyFill="1" applyBorder="1" applyAlignment="1" applyProtection="1">
      <alignment horizontal="center" vertical="center"/>
      <protection hidden="1"/>
    </xf>
    <xf numFmtId="0" fontId="53" fillId="15" borderId="59" xfId="0" quotePrefix="1" applyFont="1" applyFill="1" applyBorder="1" applyAlignment="1" applyProtection="1">
      <alignment horizontal="center" vertical="center"/>
      <protection hidden="1"/>
    </xf>
    <xf numFmtId="0" fontId="15" fillId="0" borderId="60" xfId="0" applyFont="1" applyBorder="1" applyAlignment="1" applyProtection="1">
      <alignment horizontal="center" vertical="center"/>
      <protection locked="0" hidden="1"/>
    </xf>
    <xf numFmtId="1" fontId="34" fillId="7" borderId="11" xfId="0" applyNumberFormat="1" applyFont="1" applyFill="1" applyBorder="1" applyAlignment="1" applyProtection="1">
      <alignment horizontal="center" vertical="center" shrinkToFit="1"/>
      <protection locked="0"/>
    </xf>
    <xf numFmtId="0" fontId="34" fillId="7" borderId="11" xfId="0" applyFont="1" applyFill="1" applyBorder="1" applyAlignment="1" applyProtection="1">
      <alignment horizontal="center" vertical="center" shrinkToFit="1"/>
      <protection locked="0"/>
    </xf>
    <xf numFmtId="0" fontId="4" fillId="0" borderId="0" xfId="0" applyFont="1" applyBorder="1" applyAlignment="1" applyProtection="1">
      <alignment horizontal="center"/>
      <protection hidden="1"/>
    </xf>
    <xf numFmtId="0" fontId="25"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56" fillId="0" borderId="0" xfId="0" applyFont="1" applyFill="1" applyBorder="1" applyAlignment="1">
      <alignment horizontal="left" vertical="center" shrinkToFit="1"/>
    </xf>
    <xf numFmtId="0" fontId="4" fillId="0" borderId="0" xfId="0" applyFont="1" applyBorder="1" applyAlignment="1" applyProtection="1">
      <alignment horizontal="center" vertical="center"/>
      <protection hidden="1"/>
    </xf>
    <xf numFmtId="0" fontId="4" fillId="0" borderId="0" xfId="0" quotePrefix="1" applyFont="1" applyBorder="1" applyAlignment="1" applyProtection="1">
      <alignment horizontal="center" vertical="center"/>
      <protection hidden="1"/>
    </xf>
    <xf numFmtId="0" fontId="57" fillId="2" borderId="0" xfId="1" applyFont="1" applyFill="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8" fillId="0" borderId="0" xfId="0" applyFont="1" applyAlignment="1" applyProtection="1">
      <alignment horizontal="center" vertical="center" shrinkToFit="1"/>
      <protection hidden="1"/>
    </xf>
    <xf numFmtId="0" fontId="11" fillId="0" borderId="0" xfId="0" applyFont="1" applyAlignment="1" applyProtection="1">
      <alignment vertical="center" shrinkToFit="1"/>
      <protection hidden="1"/>
    </xf>
    <xf numFmtId="0" fontId="42" fillId="0" borderId="0" xfId="0" applyFont="1" applyFill="1" applyBorder="1" applyAlignment="1">
      <alignment horizontal="center" vertical="center" shrinkToFit="1"/>
    </xf>
    <xf numFmtId="0" fontId="42" fillId="18" borderId="0" xfId="0" applyFont="1" applyFill="1" applyBorder="1" applyAlignment="1">
      <alignment horizontal="center" vertical="center" shrinkToFit="1"/>
    </xf>
    <xf numFmtId="0" fontId="0" fillId="0" borderId="18" xfId="0" quotePrefix="1" applyFont="1" applyBorder="1" applyAlignment="1" applyProtection="1">
      <alignment horizontal="center" vertical="center" wrapText="1" shrinkToFit="1"/>
      <protection hidden="1"/>
    </xf>
    <xf numFmtId="0" fontId="18" fillId="9" borderId="6" xfId="0" applyFont="1" applyFill="1" applyBorder="1" applyAlignment="1" applyProtection="1">
      <alignment horizontal="center" vertical="center"/>
      <protection locked="0" hidden="1"/>
    </xf>
    <xf numFmtId="0" fontId="58" fillId="9" borderId="0" xfId="0" applyFont="1" applyFill="1" applyBorder="1" applyAlignment="1" applyProtection="1">
      <alignment horizontal="right" vertical="center" shrinkToFit="1"/>
      <protection locked="0" hidden="1"/>
    </xf>
    <xf numFmtId="0" fontId="0" fillId="0" borderId="2" xfId="0" quotePrefix="1" applyFont="1" applyBorder="1" applyAlignment="1" applyProtection="1">
      <alignment horizontal="center" vertical="center" wrapText="1" shrinkToFit="1"/>
      <protection hidden="1"/>
    </xf>
    <xf numFmtId="0" fontId="0" fillId="0" borderId="22" xfId="0" quotePrefix="1" applyFont="1" applyBorder="1" applyAlignment="1" applyProtection="1">
      <alignment horizontal="center" vertical="center" wrapText="1" shrinkToFit="1"/>
      <protection hidden="1"/>
    </xf>
    <xf numFmtId="0" fontId="59" fillId="0" borderId="0" xfId="0" applyFont="1" applyAlignment="1" applyProtection="1">
      <alignment horizontal="center" vertical="center"/>
      <protection hidden="1"/>
    </xf>
    <xf numFmtId="0" fontId="27" fillId="0" borderId="0" xfId="0" applyFont="1" applyProtection="1">
      <protection hidden="1"/>
    </xf>
    <xf numFmtId="0" fontId="34" fillId="0" borderId="15" xfId="0" quotePrefix="1" applyFont="1" applyBorder="1" applyAlignment="1" applyProtection="1">
      <alignment horizontal="center" vertical="center" shrinkToFit="1"/>
      <protection hidden="1"/>
    </xf>
    <xf numFmtId="0" fontId="34" fillId="0" borderId="18" xfId="0" quotePrefix="1" applyFont="1" applyBorder="1" applyAlignment="1" applyProtection="1">
      <alignment horizontal="center" vertical="center" shrinkToFit="1"/>
      <protection hidden="1"/>
    </xf>
    <xf numFmtId="165" fontId="34" fillId="0" borderId="18" xfId="0" applyNumberFormat="1" applyFont="1" applyBorder="1" applyAlignment="1" applyProtection="1">
      <alignment horizontal="center" vertical="center" shrinkToFit="1"/>
      <protection hidden="1"/>
    </xf>
    <xf numFmtId="0" fontId="34" fillId="0" borderId="58" xfId="0" quotePrefix="1" applyFont="1" applyBorder="1" applyAlignment="1" applyProtection="1">
      <alignment horizontal="center" vertical="center" shrinkToFit="1"/>
      <protection hidden="1"/>
    </xf>
    <xf numFmtId="0" fontId="34" fillId="0" borderId="57" xfId="0" quotePrefix="1" applyFont="1" applyBorder="1" applyAlignment="1" applyProtection="1">
      <alignment horizontal="center" vertical="center" shrinkToFit="1"/>
      <protection hidden="1"/>
    </xf>
    <xf numFmtId="165" fontId="34" fillId="0" borderId="57" xfId="0" applyNumberFormat="1" applyFont="1" applyBorder="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9" fillId="0" borderId="0" xfId="0" applyNumberFormat="1" applyFont="1" applyAlignment="1" applyProtection="1">
      <alignment horizontal="center" vertical="center" shrinkToFit="1"/>
      <protection hidden="1"/>
    </xf>
    <xf numFmtId="0" fontId="27" fillId="0" borderId="0" xfId="0" applyFont="1" applyAlignment="1" applyProtection="1">
      <alignment horizontal="center" vertical="center" shrinkToFit="1"/>
      <protection hidden="1"/>
    </xf>
    <xf numFmtId="0" fontId="0" fillId="0" borderId="0" xfId="0" quotePrefix="1" applyAlignment="1" applyProtection="1">
      <alignment shrinkToFit="1"/>
      <protection hidden="1"/>
    </xf>
    <xf numFmtId="0" fontId="4" fillId="18" borderId="0" xfId="0" applyFont="1" applyFill="1" applyBorder="1" applyAlignment="1" applyProtection="1">
      <alignment horizontal="left" vertical="center" shrinkToFit="1"/>
      <protection hidden="1"/>
    </xf>
    <xf numFmtId="0" fontId="4" fillId="18" borderId="0" xfId="0" applyFont="1" applyFill="1" applyAlignment="1" applyProtection="1">
      <alignment horizontal="left" shrinkToFit="1"/>
      <protection hidden="1"/>
    </xf>
    <xf numFmtId="0" fontId="4" fillId="18" borderId="0" xfId="0" applyFont="1" applyFill="1" applyBorder="1" applyAlignment="1" applyProtection="1">
      <alignment horizontal="center" vertical="center" shrinkToFit="1"/>
      <protection hidden="1"/>
    </xf>
    <xf numFmtId="0" fontId="40" fillId="18" borderId="0" xfId="0" applyFont="1" applyFill="1" applyBorder="1" applyAlignment="1">
      <alignment horizontal="center" shrinkToFit="1"/>
    </xf>
    <xf numFmtId="0" fontId="4" fillId="18" borderId="0" xfId="0" applyFont="1" applyFill="1" applyAlignment="1" applyProtection="1">
      <alignment horizontal="center" shrinkToFit="1"/>
      <protection hidden="1"/>
    </xf>
    <xf numFmtId="0" fontId="4" fillId="18" borderId="17" xfId="0" applyFont="1" applyFill="1" applyBorder="1" applyAlignment="1" applyProtection="1">
      <alignment horizontal="center" shrinkToFit="1"/>
      <protection hidden="1"/>
    </xf>
    <xf numFmtId="0" fontId="40" fillId="19" borderId="24" xfId="0" applyFont="1" applyFill="1" applyBorder="1" applyAlignment="1">
      <alignment horizontal="center" shrinkToFit="1"/>
    </xf>
    <xf numFmtId="0" fontId="40" fillId="18" borderId="23" xfId="0" applyFont="1" applyFill="1" applyBorder="1" applyAlignment="1">
      <alignment horizontal="center" shrinkToFit="1"/>
    </xf>
    <xf numFmtId="0" fontId="40" fillId="19" borderId="23" xfId="0" applyFont="1" applyFill="1" applyBorder="1" applyAlignment="1">
      <alignment horizontal="center" shrinkToFit="1"/>
    </xf>
    <xf numFmtId="0" fontId="40" fillId="18" borderId="23" xfId="0" quotePrefix="1" applyFont="1" applyFill="1" applyBorder="1" applyAlignment="1">
      <alignment horizontal="center" vertical="center" shrinkToFit="1"/>
    </xf>
    <xf numFmtId="0" fontId="42" fillId="19" borderId="23" xfId="0" applyFont="1" applyFill="1" applyBorder="1" applyAlignment="1">
      <alignment horizontal="center" vertical="center" shrinkToFit="1"/>
    </xf>
    <xf numFmtId="0" fontId="42" fillId="18" borderId="23" xfId="0" applyFont="1" applyFill="1" applyBorder="1" applyAlignment="1">
      <alignment horizontal="center" vertical="center" shrinkToFit="1"/>
    </xf>
    <xf numFmtId="0" fontId="27" fillId="0" borderId="0" xfId="0" applyFont="1" applyAlignment="1" applyProtection="1">
      <alignment shrinkToFit="1"/>
      <protection hidden="1"/>
    </xf>
    <xf numFmtId="0" fontId="60" fillId="0" borderId="18" xfId="0" applyFont="1" applyBorder="1" applyAlignment="1" applyProtection="1">
      <alignment horizontal="center" vertical="center"/>
      <protection locked="0" hidden="1"/>
    </xf>
    <xf numFmtId="0" fontId="60" fillId="0" borderId="2" xfId="0" applyFont="1" applyBorder="1" applyAlignment="1" applyProtection="1">
      <alignment horizontal="center" vertical="center"/>
      <protection locked="0" hidden="1"/>
    </xf>
    <xf numFmtId="0" fontId="60" fillId="0" borderId="22" xfId="0" applyFont="1" applyBorder="1" applyAlignment="1" applyProtection="1">
      <alignment horizontal="center" vertical="center"/>
      <protection locked="0" hidden="1"/>
    </xf>
    <xf numFmtId="0" fontId="44" fillId="9" borderId="11" xfId="0" quotePrefix="1" applyFont="1" applyFill="1" applyBorder="1" applyAlignment="1" applyProtection="1">
      <alignment horizontal="right"/>
      <protection hidden="1"/>
    </xf>
    <xf numFmtId="0" fontId="4" fillId="0" borderId="0" xfId="0" applyNumberFormat="1" applyFont="1" applyProtection="1">
      <protection hidden="1"/>
    </xf>
    <xf numFmtId="0" fontId="4" fillId="0" borderId="0" xfId="0" quotePrefix="1" applyFont="1" applyAlignment="1" applyProtection="1">
      <alignment horizontal="center" vertical="center"/>
      <protection hidden="1"/>
    </xf>
    <xf numFmtId="0" fontId="27" fillId="0" borderId="0" xfId="0" applyFont="1" applyAlignment="1" applyProtection="1">
      <protection hidden="1"/>
    </xf>
    <xf numFmtId="0" fontId="23" fillId="0" borderId="0" xfId="0" applyFont="1" applyAlignment="1" applyProtection="1">
      <alignment horizontal="left" shrinkToFit="1"/>
      <protection hidden="1"/>
    </xf>
    <xf numFmtId="0" fontId="23" fillId="0" borderId="0" xfId="0" applyFont="1" applyAlignment="1" applyProtection="1">
      <alignment shrinkToFit="1"/>
      <protection hidden="1"/>
    </xf>
    <xf numFmtId="0" fontId="18" fillId="8" borderId="12" xfId="0" applyFont="1" applyFill="1" applyBorder="1" applyAlignment="1" applyProtection="1">
      <alignment horizontal="center" vertical="center" shrinkToFit="1"/>
      <protection hidden="1"/>
    </xf>
    <xf numFmtId="0" fontId="18" fillId="8" borderId="12" xfId="0" applyNumberFormat="1" applyFont="1" applyFill="1" applyBorder="1" applyAlignment="1" applyProtection="1">
      <alignment horizontal="center" vertical="center" shrinkToFit="1"/>
      <protection hidden="1"/>
    </xf>
    <xf numFmtId="0" fontId="43" fillId="0" borderId="2" xfId="0" applyFont="1" applyFill="1" applyBorder="1" applyAlignment="1" applyProtection="1">
      <alignment horizontal="center" vertical="center" shrinkToFit="1"/>
      <protection locked="0" hidden="1"/>
    </xf>
    <xf numFmtId="0" fontId="43" fillId="0" borderId="35" xfId="0" applyFont="1" applyFill="1" applyBorder="1" applyAlignment="1" applyProtection="1">
      <alignment horizontal="center" vertical="center" shrinkToFit="1"/>
      <protection locked="0" hidden="1"/>
    </xf>
    <xf numFmtId="0" fontId="47" fillId="6" borderId="20" xfId="0" applyFont="1" applyFill="1" applyBorder="1" applyAlignment="1" applyProtection="1">
      <alignment horizontal="center" vertical="center" shrinkToFit="1"/>
      <protection hidden="1"/>
    </xf>
    <xf numFmtId="0" fontId="47" fillId="6" borderId="22" xfId="0" applyFont="1" applyFill="1" applyBorder="1" applyAlignment="1" applyProtection="1">
      <alignment horizontal="center" vertical="center" shrinkToFit="1"/>
      <protection hidden="1"/>
    </xf>
    <xf numFmtId="0" fontId="47" fillId="6" borderId="56" xfId="0" applyFont="1" applyFill="1" applyBorder="1" applyAlignment="1" applyProtection="1">
      <alignment horizontal="center" vertical="center" shrinkToFit="1"/>
      <protection hidden="1"/>
    </xf>
    <xf numFmtId="0" fontId="47" fillId="6" borderId="54" xfId="0" applyFont="1" applyFill="1" applyBorder="1" applyAlignment="1" applyProtection="1">
      <alignment horizontal="center" vertical="center" shrinkToFit="1"/>
      <protection hidden="1"/>
    </xf>
    <xf numFmtId="0" fontId="22" fillId="5" borderId="26" xfId="0" applyFont="1" applyFill="1" applyBorder="1" applyAlignment="1" applyProtection="1">
      <alignment horizontal="center" vertical="center" wrapText="1" shrinkToFit="1"/>
      <protection hidden="1"/>
    </xf>
    <xf numFmtId="0" fontId="22" fillId="5" borderId="8" xfId="0" applyFont="1" applyFill="1" applyBorder="1" applyAlignment="1" applyProtection="1">
      <alignment horizontal="center" vertical="center" wrapText="1" shrinkToFit="1"/>
      <protection hidden="1"/>
    </xf>
    <xf numFmtId="0" fontId="48" fillId="11" borderId="30" xfId="0" applyFont="1" applyFill="1" applyBorder="1" applyAlignment="1" applyProtection="1">
      <alignment horizontal="center" shrinkToFit="1"/>
      <protection hidden="1"/>
    </xf>
    <xf numFmtId="0" fontId="48" fillId="11" borderId="28" xfId="0" applyFont="1" applyFill="1" applyBorder="1" applyAlignment="1" applyProtection="1">
      <alignment horizontal="center" shrinkToFit="1"/>
      <protection hidden="1"/>
    </xf>
    <xf numFmtId="0" fontId="48" fillId="11" borderId="31" xfId="0" applyFont="1" applyFill="1" applyBorder="1" applyAlignment="1" applyProtection="1">
      <alignment horizontal="center" shrinkToFit="1"/>
      <protection hidden="1"/>
    </xf>
    <xf numFmtId="0" fontId="47" fillId="6" borderId="19" xfId="0" applyFont="1" applyFill="1" applyBorder="1" applyAlignment="1" applyProtection="1">
      <alignment horizontal="center" vertical="center" shrinkToFit="1"/>
      <protection hidden="1"/>
    </xf>
    <xf numFmtId="0" fontId="47" fillId="6" borderId="41" xfId="0" applyFont="1" applyFill="1" applyBorder="1" applyAlignment="1" applyProtection="1">
      <alignment horizontal="center" vertical="center" shrinkToFit="1"/>
      <protection hidden="1"/>
    </xf>
    <xf numFmtId="0" fontId="47" fillId="11" borderId="30" xfId="0" applyFont="1" applyFill="1" applyBorder="1" applyAlignment="1" applyProtection="1">
      <alignment horizontal="center" vertical="center" shrinkToFit="1"/>
      <protection hidden="1"/>
    </xf>
    <xf numFmtId="0" fontId="47" fillId="11" borderId="28" xfId="0" applyFont="1" applyFill="1" applyBorder="1" applyAlignment="1" applyProtection="1">
      <alignment horizontal="center" vertical="center" shrinkToFit="1"/>
      <protection hidden="1"/>
    </xf>
    <xf numFmtId="0" fontId="47" fillId="11" borderId="31" xfId="0" applyFont="1" applyFill="1" applyBorder="1" applyAlignment="1" applyProtection="1">
      <alignment horizontal="center" vertical="center" shrinkToFit="1"/>
      <protection hidden="1"/>
    </xf>
    <xf numFmtId="0" fontId="47" fillId="5" borderId="26" xfId="0" applyFont="1" applyFill="1" applyBorder="1" applyAlignment="1" applyProtection="1">
      <alignment horizontal="center" vertical="center" shrinkToFit="1"/>
      <protection hidden="1"/>
    </xf>
    <xf numFmtId="0" fontId="47" fillId="5" borderId="27" xfId="0" applyFont="1" applyFill="1" applyBorder="1" applyAlignment="1" applyProtection="1">
      <alignment horizontal="center" vertical="center" shrinkToFit="1"/>
      <protection hidden="1"/>
    </xf>
    <xf numFmtId="0" fontId="18" fillId="5" borderId="26" xfId="0" applyFont="1" applyFill="1" applyBorder="1" applyAlignment="1" applyProtection="1">
      <alignment horizontal="center" vertical="center" shrinkToFit="1"/>
      <protection hidden="1"/>
    </xf>
    <xf numFmtId="0" fontId="18" fillId="5" borderId="27" xfId="0" applyFont="1" applyFill="1" applyBorder="1" applyAlignment="1" applyProtection="1">
      <alignment horizontal="center" vertical="center" shrinkToFit="1"/>
      <protection hidden="1"/>
    </xf>
    <xf numFmtId="0" fontId="47" fillId="5" borderId="3" xfId="0" applyFont="1" applyFill="1" applyBorder="1" applyAlignment="1" applyProtection="1">
      <alignment horizontal="center" vertical="center" shrinkToFit="1"/>
      <protection hidden="1"/>
    </xf>
    <xf numFmtId="0" fontId="47" fillId="5" borderId="4" xfId="0" applyFont="1" applyFill="1" applyBorder="1" applyAlignment="1" applyProtection="1">
      <alignment horizontal="center" vertical="center" shrinkToFit="1"/>
      <protection hidden="1"/>
    </xf>
    <xf numFmtId="0" fontId="47" fillId="5" borderId="5" xfId="0" applyFont="1" applyFill="1" applyBorder="1" applyAlignment="1" applyProtection="1">
      <alignment horizontal="center" vertical="center" shrinkToFit="1"/>
      <protection hidden="1"/>
    </xf>
    <xf numFmtId="0" fontId="47" fillId="5" borderId="8" xfId="0" applyFont="1" applyFill="1" applyBorder="1" applyAlignment="1" applyProtection="1">
      <alignment horizontal="center" vertical="center" shrinkToFit="1"/>
      <protection hidden="1"/>
    </xf>
    <xf numFmtId="0" fontId="47" fillId="5" borderId="9" xfId="0" applyFont="1" applyFill="1" applyBorder="1" applyAlignment="1" applyProtection="1">
      <alignment horizontal="center" vertical="center" shrinkToFit="1"/>
      <protection hidden="1"/>
    </xf>
    <xf numFmtId="0" fontId="47" fillId="5" borderId="10" xfId="0" applyFont="1" applyFill="1" applyBorder="1" applyAlignment="1" applyProtection="1">
      <alignment horizontal="center" vertical="center" shrinkToFit="1"/>
      <protection hidden="1"/>
    </xf>
    <xf numFmtId="0" fontId="43" fillId="0" borderId="18" xfId="0" applyFont="1" applyFill="1" applyBorder="1" applyAlignment="1" applyProtection="1">
      <alignment horizontal="center" vertical="center" shrinkToFit="1"/>
      <protection locked="0" hidden="1"/>
    </xf>
    <xf numFmtId="0" fontId="34" fillId="8" borderId="11" xfId="0" applyFont="1" applyFill="1" applyBorder="1" applyAlignment="1" applyProtection="1">
      <alignment horizontal="center" vertical="center" shrinkToFit="1"/>
      <protection hidden="1"/>
    </xf>
    <xf numFmtId="0" fontId="34" fillId="8" borderId="12" xfId="0" applyFont="1" applyFill="1" applyBorder="1" applyAlignment="1" applyProtection="1">
      <alignment horizontal="center" vertical="center" shrinkToFit="1"/>
      <protection hidden="1"/>
    </xf>
    <xf numFmtId="0" fontId="34" fillId="8" borderId="13" xfId="0" applyFont="1" applyFill="1" applyBorder="1" applyAlignment="1" applyProtection="1">
      <alignment horizontal="center" vertical="center" shrinkToFit="1"/>
      <protection hidden="1"/>
    </xf>
    <xf numFmtId="0" fontId="34" fillId="8" borderId="3" xfId="0" applyFont="1" applyFill="1" applyBorder="1" applyAlignment="1" applyProtection="1">
      <alignment horizontal="center" vertical="center" shrinkToFit="1"/>
      <protection hidden="1"/>
    </xf>
    <xf numFmtId="0" fontId="34" fillId="8" borderId="4" xfId="0" applyFont="1" applyFill="1" applyBorder="1" applyAlignment="1" applyProtection="1">
      <alignment horizontal="center" vertical="center" shrinkToFit="1"/>
      <protection hidden="1"/>
    </xf>
    <xf numFmtId="0" fontId="34" fillId="8" borderId="5" xfId="0" applyFont="1" applyFill="1" applyBorder="1" applyAlignment="1" applyProtection="1">
      <alignment horizontal="center" vertical="center" shrinkToFit="1"/>
      <protection hidden="1"/>
    </xf>
    <xf numFmtId="0" fontId="34" fillId="8" borderId="8" xfId="0" applyFont="1" applyFill="1" applyBorder="1" applyAlignment="1" applyProtection="1">
      <alignment horizontal="center" vertical="center" shrinkToFit="1"/>
      <protection hidden="1"/>
    </xf>
    <xf numFmtId="0" fontId="34" fillId="8" borderId="9" xfId="0" applyFont="1" applyFill="1" applyBorder="1" applyAlignment="1" applyProtection="1">
      <alignment horizontal="center" vertical="center" shrinkToFit="1"/>
      <protection hidden="1"/>
    </xf>
    <xf numFmtId="0" fontId="34" fillId="8" borderId="10" xfId="0" applyFont="1" applyFill="1" applyBorder="1" applyAlignment="1" applyProtection="1">
      <alignment horizontal="center" vertical="center" shrinkToFit="1"/>
      <protection hidden="1"/>
    </xf>
    <xf numFmtId="0" fontId="47" fillId="9" borderId="6" xfId="0" applyFont="1" applyFill="1" applyBorder="1" applyAlignment="1" applyProtection="1">
      <alignment horizontal="center" vertical="center" wrapText="1" shrinkToFit="1"/>
      <protection hidden="1"/>
    </xf>
    <xf numFmtId="0" fontId="47" fillId="9" borderId="0" xfId="0" applyFont="1" applyFill="1" applyBorder="1" applyAlignment="1" applyProtection="1">
      <alignment horizontal="center" vertical="center" wrapText="1" shrinkToFit="1"/>
      <protection hidden="1"/>
    </xf>
    <xf numFmtId="0" fontId="47" fillId="9" borderId="8" xfId="0" applyFont="1" applyFill="1" applyBorder="1" applyAlignment="1" applyProtection="1">
      <alignment horizontal="center" vertical="center" wrapText="1" shrinkToFit="1"/>
      <protection hidden="1"/>
    </xf>
    <xf numFmtId="0" fontId="47" fillId="9" borderId="9" xfId="0" applyFont="1" applyFill="1" applyBorder="1" applyAlignment="1" applyProtection="1">
      <alignment horizontal="center" vertical="center" wrapText="1" shrinkToFit="1"/>
      <protection hidden="1"/>
    </xf>
    <xf numFmtId="0" fontId="22" fillId="9" borderId="3" xfId="0" applyFont="1" applyFill="1" applyBorder="1" applyAlignment="1" applyProtection="1">
      <alignment horizontal="center" vertical="center" wrapText="1"/>
      <protection hidden="1"/>
    </xf>
    <xf numFmtId="0" fontId="22" fillId="9" borderId="4" xfId="0" applyFont="1" applyFill="1" applyBorder="1" applyAlignment="1" applyProtection="1">
      <alignment horizontal="center" vertical="center" wrapText="1"/>
      <protection hidden="1"/>
    </xf>
    <xf numFmtId="0" fontId="22" fillId="9" borderId="5" xfId="0" applyFont="1" applyFill="1" applyBorder="1" applyAlignment="1" applyProtection="1">
      <alignment horizontal="center" vertical="center" wrapText="1"/>
      <protection hidden="1"/>
    </xf>
    <xf numFmtId="0" fontId="22" fillId="9" borderId="8" xfId="0" applyFont="1" applyFill="1" applyBorder="1" applyAlignment="1" applyProtection="1">
      <alignment horizontal="center" vertical="center" wrapText="1"/>
      <protection hidden="1"/>
    </xf>
    <xf numFmtId="0" fontId="22" fillId="9" borderId="9" xfId="0" applyFont="1" applyFill="1" applyBorder="1" applyAlignment="1" applyProtection="1">
      <alignment horizontal="center" vertical="center" wrapText="1"/>
      <protection hidden="1"/>
    </xf>
    <xf numFmtId="0" fontId="22" fillId="9" borderId="10" xfId="0" applyFont="1" applyFill="1" applyBorder="1" applyAlignment="1" applyProtection="1">
      <alignment horizontal="center" vertical="center" wrapText="1"/>
      <protection hidden="1"/>
    </xf>
    <xf numFmtId="0" fontId="34" fillId="8" borderId="3" xfId="0" applyFont="1" applyFill="1" applyBorder="1" applyAlignment="1" applyProtection="1">
      <alignment horizontal="center" vertical="center" wrapText="1" shrinkToFit="1"/>
      <protection hidden="1"/>
    </xf>
    <xf numFmtId="0" fontId="34" fillId="8" borderId="4" xfId="0" applyFont="1" applyFill="1" applyBorder="1" applyAlignment="1" applyProtection="1">
      <alignment horizontal="center" vertical="center" wrapText="1" shrinkToFit="1"/>
      <protection hidden="1"/>
    </xf>
    <xf numFmtId="0" fontId="34" fillId="8" borderId="5" xfId="0" applyFont="1" applyFill="1" applyBorder="1" applyAlignment="1" applyProtection="1">
      <alignment horizontal="center" vertical="center" wrapText="1" shrinkToFit="1"/>
      <protection hidden="1"/>
    </xf>
    <xf numFmtId="0" fontId="34" fillId="8" borderId="8" xfId="0" applyFont="1" applyFill="1" applyBorder="1" applyAlignment="1" applyProtection="1">
      <alignment horizontal="center" vertical="center" wrapText="1" shrinkToFit="1"/>
      <protection hidden="1"/>
    </xf>
    <xf numFmtId="0" fontId="34" fillId="8" borderId="9" xfId="0" applyFont="1" applyFill="1" applyBorder="1" applyAlignment="1" applyProtection="1">
      <alignment horizontal="center" vertical="center" wrapText="1" shrinkToFit="1"/>
      <protection hidden="1"/>
    </xf>
    <xf numFmtId="0" fontId="34" fillId="8" borderId="10" xfId="0" applyFont="1" applyFill="1" applyBorder="1" applyAlignment="1" applyProtection="1">
      <alignment horizontal="center" vertical="center" wrapText="1" shrinkToFit="1"/>
      <protection hidden="1"/>
    </xf>
    <xf numFmtId="0" fontId="38" fillId="0" borderId="0" xfId="0" applyFont="1" applyFill="1" applyBorder="1" applyAlignment="1" applyProtection="1">
      <alignment horizontal="left" vertical="center"/>
      <protection hidden="1"/>
    </xf>
    <xf numFmtId="0" fontId="47" fillId="6" borderId="38" xfId="0" applyFont="1" applyFill="1" applyBorder="1" applyAlignment="1" applyProtection="1">
      <alignment horizontal="center" vertical="center" shrinkToFit="1"/>
      <protection hidden="1"/>
    </xf>
    <xf numFmtId="0" fontId="47" fillId="6" borderId="29" xfId="0" applyFont="1" applyFill="1" applyBorder="1" applyAlignment="1" applyProtection="1">
      <alignment horizontal="center" vertical="center" shrinkToFit="1"/>
      <protection hidden="1"/>
    </xf>
    <xf numFmtId="0" fontId="39" fillId="9" borderId="12" xfId="0" applyFont="1" applyFill="1" applyBorder="1" applyAlignment="1" applyProtection="1">
      <alignment horizontal="center" shrinkToFit="1"/>
      <protection hidden="1"/>
    </xf>
    <xf numFmtId="0" fontId="39" fillId="9" borderId="13" xfId="0" applyFont="1" applyFill="1" applyBorder="1" applyAlignment="1" applyProtection="1">
      <alignment horizontal="center" shrinkToFit="1"/>
      <protection hidden="1"/>
    </xf>
    <xf numFmtId="0" fontId="43" fillId="9" borderId="11" xfId="0" applyFont="1" applyFill="1" applyBorder="1" applyAlignment="1" applyProtection="1">
      <alignment horizontal="center" vertical="center"/>
      <protection locked="0"/>
    </xf>
    <xf numFmtId="0" fontId="43" fillId="9" borderId="12" xfId="0" applyFont="1" applyFill="1" applyBorder="1" applyAlignment="1" applyProtection="1">
      <alignment horizontal="center" vertical="center"/>
      <protection locked="0"/>
    </xf>
    <xf numFmtId="0" fontId="49" fillId="9" borderId="12" xfId="0" applyFont="1" applyFill="1" applyBorder="1" applyAlignment="1" applyProtection="1">
      <alignment horizontal="left"/>
      <protection hidden="1"/>
    </xf>
    <xf numFmtId="0" fontId="49" fillId="9" borderId="13" xfId="0" applyFont="1" applyFill="1" applyBorder="1" applyAlignment="1" applyProtection="1">
      <alignment horizontal="left"/>
      <protection hidden="1"/>
    </xf>
    <xf numFmtId="0" fontId="34" fillId="5" borderId="3" xfId="0" applyFont="1" applyFill="1" applyBorder="1" applyAlignment="1" applyProtection="1">
      <alignment horizontal="center" vertical="center" shrinkToFit="1"/>
      <protection hidden="1"/>
    </xf>
    <xf numFmtId="0" fontId="34" fillId="5" borderId="8" xfId="0" applyFont="1" applyFill="1" applyBorder="1" applyAlignment="1" applyProtection="1">
      <alignment horizontal="center" vertical="center" shrinkToFit="1"/>
      <protection hidden="1"/>
    </xf>
    <xf numFmtId="0" fontId="34" fillId="5" borderId="42" xfId="0" applyFont="1" applyFill="1" applyBorder="1" applyAlignment="1" applyProtection="1">
      <alignment horizontal="center" vertical="center" shrinkToFit="1"/>
      <protection hidden="1"/>
    </xf>
    <xf numFmtId="0" fontId="34" fillId="5" borderId="37" xfId="0" applyFont="1" applyFill="1" applyBorder="1" applyAlignment="1" applyProtection="1">
      <alignment horizontal="center" vertical="center" shrinkToFit="1"/>
      <protection hidden="1"/>
    </xf>
    <xf numFmtId="0" fontId="44" fillId="9" borderId="12" xfId="0" applyFont="1" applyFill="1" applyBorder="1" applyAlignment="1" applyProtection="1">
      <alignment horizontal="left"/>
      <protection hidden="1"/>
    </xf>
    <xf numFmtId="0" fontId="44" fillId="9" borderId="13" xfId="0" applyFont="1" applyFill="1" applyBorder="1" applyAlignment="1" applyProtection="1">
      <alignment horizontal="left"/>
      <protection hidden="1"/>
    </xf>
    <xf numFmtId="0" fontId="0" fillId="16" borderId="12" xfId="0" applyFill="1" applyBorder="1" applyAlignment="1" applyProtection="1">
      <alignment horizontal="center"/>
      <protection hidden="1"/>
    </xf>
    <xf numFmtId="0" fontId="0" fillId="16" borderId="13" xfId="0" applyFill="1" applyBorder="1" applyAlignment="1" applyProtection="1">
      <alignment horizontal="center"/>
      <protection hidden="1"/>
    </xf>
    <xf numFmtId="0" fontId="34" fillId="5" borderId="26" xfId="0" applyFont="1" applyFill="1" applyBorder="1" applyAlignment="1" applyProtection="1">
      <alignment horizontal="center" vertical="center" wrapText="1"/>
      <protection hidden="1"/>
    </xf>
    <xf numFmtId="0" fontId="34" fillId="5" borderId="27" xfId="0" applyFont="1" applyFill="1" applyBorder="1" applyAlignment="1" applyProtection="1">
      <alignment horizontal="center" vertical="center" wrapText="1"/>
      <protection hidden="1"/>
    </xf>
    <xf numFmtId="0" fontId="18" fillId="5" borderId="20" xfId="0" applyFont="1" applyFill="1" applyBorder="1" applyAlignment="1" applyProtection="1">
      <alignment horizontal="center" vertical="center" shrinkToFit="1"/>
      <protection hidden="1"/>
    </xf>
    <xf numFmtId="0" fontId="18" fillId="5" borderId="22" xfId="0" applyFont="1" applyFill="1" applyBorder="1" applyAlignment="1" applyProtection="1">
      <alignment horizontal="center" vertical="center" shrinkToFit="1"/>
      <protection hidden="1"/>
    </xf>
    <xf numFmtId="0" fontId="18" fillId="5" borderId="19" xfId="0" applyFont="1" applyFill="1" applyBorder="1" applyAlignment="1" applyProtection="1">
      <alignment horizontal="center" vertical="center" shrinkToFit="1"/>
      <protection hidden="1"/>
    </xf>
    <xf numFmtId="0" fontId="18" fillId="5" borderId="21" xfId="0" applyFont="1" applyFill="1" applyBorder="1" applyAlignment="1" applyProtection="1">
      <alignment horizontal="center" vertical="center" shrinkToFit="1"/>
      <protection hidden="1"/>
    </xf>
    <xf numFmtId="0" fontId="21" fillId="5" borderId="5" xfId="0" applyFont="1" applyFill="1" applyBorder="1" applyAlignment="1" applyProtection="1">
      <alignment horizontal="center" vertical="center" wrapText="1" shrinkToFit="1"/>
      <protection hidden="1"/>
    </xf>
    <xf numFmtId="0" fontId="21" fillId="5" borderId="10" xfId="0" applyFont="1" applyFill="1" applyBorder="1" applyAlignment="1" applyProtection="1">
      <alignment horizontal="center" vertical="center" wrapText="1" shrinkToFit="1"/>
      <protection hidden="1"/>
    </xf>
    <xf numFmtId="0" fontId="28" fillId="10" borderId="3" xfId="0" applyFont="1" applyFill="1" applyBorder="1" applyAlignment="1" applyProtection="1">
      <alignment horizontal="right"/>
      <protection hidden="1"/>
    </xf>
    <xf numFmtId="0" fontId="28" fillId="10" borderId="4" xfId="0" applyFont="1" applyFill="1" applyBorder="1" applyAlignment="1" applyProtection="1">
      <alignment horizontal="right"/>
      <protection hidden="1"/>
    </xf>
    <xf numFmtId="0" fontId="47" fillId="10" borderId="4" xfId="0" applyNumberFormat="1" applyFont="1" applyFill="1" applyBorder="1" applyAlignment="1" applyProtection="1">
      <alignment horizontal="center" vertical="top"/>
      <protection locked="0"/>
    </xf>
    <xf numFmtId="0" fontId="47" fillId="10" borderId="5" xfId="0" applyNumberFormat="1" applyFont="1" applyFill="1" applyBorder="1" applyAlignment="1" applyProtection="1">
      <alignment horizontal="center" vertical="top"/>
      <protection locked="0"/>
    </xf>
    <xf numFmtId="0" fontId="47" fillId="10" borderId="0" xfId="0" applyNumberFormat="1" applyFont="1" applyFill="1" applyBorder="1" applyAlignment="1" applyProtection="1">
      <alignment horizontal="center" vertical="top"/>
      <protection locked="0"/>
    </xf>
    <xf numFmtId="0" fontId="47" fillId="10" borderId="7" xfId="0" applyNumberFormat="1" applyFont="1" applyFill="1" applyBorder="1" applyAlignment="1" applyProtection="1">
      <alignment horizontal="center" vertical="top"/>
      <protection locked="0"/>
    </xf>
    <xf numFmtId="0" fontId="47" fillId="10" borderId="9" xfId="0" applyNumberFormat="1" applyFont="1" applyFill="1" applyBorder="1" applyAlignment="1" applyProtection="1">
      <alignment horizontal="center" vertical="top"/>
      <protection locked="0"/>
    </xf>
    <xf numFmtId="0" fontId="47" fillId="10" borderId="10" xfId="0" applyNumberFormat="1" applyFont="1" applyFill="1" applyBorder="1" applyAlignment="1" applyProtection="1">
      <alignment horizontal="center" vertical="top"/>
      <protection locked="0"/>
    </xf>
    <xf numFmtId="0" fontId="51" fillId="17" borderId="3" xfId="0" applyFont="1" applyFill="1" applyBorder="1" applyAlignment="1" applyProtection="1">
      <alignment horizontal="center" vertical="center" shrinkToFit="1"/>
      <protection hidden="1"/>
    </xf>
    <xf numFmtId="0" fontId="51" fillId="17" borderId="4" xfId="0" applyFont="1" applyFill="1" applyBorder="1" applyAlignment="1" applyProtection="1">
      <alignment horizontal="center" vertical="center" shrinkToFit="1"/>
      <protection hidden="1"/>
    </xf>
    <xf numFmtId="0" fontId="51" fillId="17" borderId="5" xfId="0" applyFont="1" applyFill="1" applyBorder="1" applyAlignment="1" applyProtection="1">
      <alignment horizontal="center" vertical="center" shrinkToFit="1"/>
      <protection hidden="1"/>
    </xf>
    <xf numFmtId="0" fontId="52" fillId="17" borderId="6" xfId="0" applyFont="1" applyFill="1" applyBorder="1" applyAlignment="1" applyProtection="1">
      <alignment horizontal="center" vertical="center" shrinkToFit="1"/>
      <protection hidden="1"/>
    </xf>
    <xf numFmtId="0" fontId="52" fillId="17" borderId="0" xfId="0" applyFont="1" applyFill="1" applyBorder="1" applyAlignment="1" applyProtection="1">
      <alignment horizontal="center" vertical="center" shrinkToFit="1"/>
      <protection hidden="1"/>
    </xf>
    <xf numFmtId="0" fontId="52" fillId="17" borderId="7" xfId="0" applyFont="1" applyFill="1" applyBorder="1" applyAlignment="1" applyProtection="1">
      <alignment horizontal="center" vertical="center" shrinkToFit="1"/>
      <protection hidden="1"/>
    </xf>
    <xf numFmtId="0" fontId="52" fillId="17" borderId="8" xfId="0" applyFont="1" applyFill="1" applyBorder="1" applyAlignment="1" applyProtection="1">
      <alignment horizontal="center" vertical="center" shrinkToFit="1"/>
      <protection hidden="1"/>
    </xf>
    <xf numFmtId="0" fontId="52" fillId="17" borderId="9" xfId="0" applyFont="1" applyFill="1" applyBorder="1" applyAlignment="1" applyProtection="1">
      <alignment horizontal="center" vertical="center" shrinkToFit="1"/>
      <protection hidden="1"/>
    </xf>
    <xf numFmtId="0" fontId="52" fillId="17" borderId="10" xfId="0" applyFont="1" applyFill="1" applyBorder="1" applyAlignment="1" applyProtection="1">
      <alignment horizontal="center" vertical="center" shrinkToFit="1"/>
      <protection hidden="1"/>
    </xf>
    <xf numFmtId="0" fontId="14" fillId="5" borderId="20" xfId="0" applyFont="1" applyFill="1" applyBorder="1" applyAlignment="1" applyProtection="1">
      <alignment horizontal="center" vertical="center" wrapText="1" shrinkToFit="1"/>
      <protection hidden="1"/>
    </xf>
    <xf numFmtId="0" fontId="14" fillId="5" borderId="22" xfId="0" applyFont="1" applyFill="1" applyBorder="1" applyAlignment="1" applyProtection="1">
      <alignment horizontal="center" vertical="center" wrapText="1" shrinkToFit="1"/>
      <protection hidden="1"/>
    </xf>
    <xf numFmtId="0" fontId="47" fillId="5" borderId="38" xfId="0" applyFont="1" applyFill="1" applyBorder="1" applyAlignment="1" applyProtection="1">
      <alignment horizontal="center" vertical="center" shrinkToFit="1"/>
      <protection hidden="1"/>
    </xf>
    <xf numFmtId="0" fontId="47" fillId="5" borderId="29" xfId="0" applyFont="1" applyFill="1" applyBorder="1" applyAlignment="1" applyProtection="1">
      <alignment horizontal="center" vertical="center" shrinkToFit="1"/>
      <protection hidden="1"/>
    </xf>
    <xf numFmtId="49" fontId="28" fillId="7" borderId="3" xfId="0" applyNumberFormat="1" applyFont="1" applyFill="1" applyBorder="1" applyAlignment="1">
      <alignment horizontal="center" vertical="center"/>
    </xf>
    <xf numFmtId="49" fontId="28" fillId="7" borderId="4" xfId="0" applyNumberFormat="1" applyFont="1" applyFill="1" applyBorder="1" applyAlignment="1">
      <alignment horizontal="center" vertical="center"/>
    </xf>
    <xf numFmtId="49" fontId="28" fillId="7" borderId="5" xfId="0" applyNumberFormat="1" applyFont="1" applyFill="1" applyBorder="1" applyAlignment="1">
      <alignment horizontal="center" vertical="center"/>
    </xf>
    <xf numFmtId="49" fontId="0" fillId="20" borderId="6" xfId="0" applyNumberFormat="1" applyFill="1" applyBorder="1" applyAlignment="1">
      <alignment horizontal="center"/>
    </xf>
    <xf numFmtId="49" fontId="0" fillId="20" borderId="0" xfId="0" applyNumberFormat="1" applyFill="1" applyBorder="1" applyAlignment="1">
      <alignment horizontal="center"/>
    </xf>
    <xf numFmtId="49" fontId="0" fillId="20" borderId="7" xfId="0" applyNumberFormat="1" applyFill="1" applyBorder="1" applyAlignment="1">
      <alignment horizontal="center"/>
    </xf>
    <xf numFmtId="49" fontId="0" fillId="13" borderId="6" xfId="0" applyNumberFormat="1" applyFill="1" applyBorder="1" applyAlignment="1">
      <alignment horizontal="left" wrapText="1"/>
    </xf>
    <xf numFmtId="49" fontId="0" fillId="13" borderId="0" xfId="0" applyNumberFormat="1" applyFill="1" applyBorder="1" applyAlignment="1">
      <alignment horizontal="left" wrapText="1"/>
    </xf>
    <xf numFmtId="49" fontId="0" fillId="13" borderId="7" xfId="0" applyNumberFormat="1" applyFill="1" applyBorder="1" applyAlignment="1">
      <alignment horizontal="left" wrapText="1"/>
    </xf>
    <xf numFmtId="49" fontId="10" fillId="13" borderId="6" xfId="0" applyNumberFormat="1" applyFont="1" applyFill="1" applyBorder="1" applyAlignment="1">
      <alignment horizontal="right"/>
    </xf>
    <xf numFmtId="49" fontId="10" fillId="13" borderId="0" xfId="0" applyNumberFormat="1" applyFont="1" applyFill="1" applyBorder="1" applyAlignment="1">
      <alignment horizontal="right"/>
    </xf>
    <xf numFmtId="49" fontId="10" fillId="13" borderId="7" xfId="0" applyNumberFormat="1" applyFont="1" applyFill="1" applyBorder="1" applyAlignment="1">
      <alignment horizontal="right"/>
    </xf>
    <xf numFmtId="49" fontId="12" fillId="13" borderId="6" xfId="0" applyNumberFormat="1" applyFont="1" applyFill="1" applyBorder="1" applyAlignment="1">
      <alignment horizontal="left" vertical="center"/>
    </xf>
    <xf numFmtId="49" fontId="12" fillId="13" borderId="0" xfId="0" applyNumberFormat="1" applyFont="1" applyFill="1" applyBorder="1" applyAlignment="1">
      <alignment horizontal="left" vertical="center"/>
    </xf>
  </cellXfs>
  <cellStyles count="6">
    <cellStyle name="Colore 1" xfId="1" builtinId="29" customBuiltin="1"/>
    <cellStyle name="Heading" xfId="2" xr:uid="{00000000-0005-0000-0000-000001000000}"/>
    <cellStyle name="Heading1" xfId="3" xr:uid="{00000000-0005-0000-0000-000002000000}"/>
    <cellStyle name="Normale" xfId="0" builtinId="0" customBuiltin="1"/>
    <cellStyle name="Result" xfId="4" xr:uid="{00000000-0005-0000-0000-000004000000}"/>
    <cellStyle name="Result2" xfId="5" xr:uid="{00000000-0005-0000-0000-000005000000}"/>
  </cellStyles>
  <dxfs count="116">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alignment horizontal="center" vertical="center" textRotation="0" indent="0" justifyLastLine="0" shrinkToFit="0" readingOrder="0"/>
      <protection locked="1" hidden="1"/>
    </dxf>
    <dxf>
      <font>
        <b/>
      </font>
      <numFmt numFmtId="0" formatCode="General"/>
      <protection locked="1" hidden="1"/>
    </dxf>
    <dxf>
      <font>
        <b/>
      </font>
      <alignment horizontal="center" vertical="bottom" textRotation="0" wrapText="0" indent="0" justifyLastLine="0" shrinkToFit="0" readingOrder="0"/>
      <protection locked="1" hidden="1"/>
    </dxf>
    <dxf>
      <font>
        <b/>
        <strike val="0"/>
        <outline val="0"/>
        <shadow val="0"/>
        <u val="none"/>
        <vertAlign val="baseline"/>
        <sz val="12"/>
        <color rgb="FF000000"/>
        <name val="Arial"/>
        <family val="2"/>
        <scheme val="none"/>
      </font>
      <numFmt numFmtId="0" formatCode="General"/>
      <alignment horizontal="center" vertical="bottom" textRotation="0" wrapText="0" indent="0" justifyLastLine="0" shrinkToFit="0" readingOrder="0"/>
      <protection locked="1" hidden="1"/>
    </dxf>
    <dxf>
      <font>
        <b val="0"/>
      </font>
      <alignment horizontal="center" vertical="bottom" textRotation="0" wrapText="0" indent="0" justifyLastLine="0" shrinkToFit="0" readingOrder="0"/>
      <protection locked="1" hidden="1"/>
    </dxf>
    <dxf>
      <font>
        <b/>
      </font>
      <alignment horizontal="center" vertical="bottom" textRotation="0" wrapText="0" indent="0" justifyLastLine="0" shrinkToFit="0" readingOrder="0"/>
      <protection locked="1" hidden="1"/>
    </dxf>
    <dxf>
      <protection locked="1" hidden="1"/>
    </dxf>
    <dxf>
      <font>
        <b/>
        <strike val="0"/>
        <outline val="0"/>
        <shadow val="0"/>
        <u val="none"/>
        <vertAlign val="baseline"/>
        <sz val="14"/>
        <color rgb="FF000000"/>
        <name val="Arial"/>
        <family val="2"/>
        <scheme val="none"/>
      </font>
      <alignment horizontal="center" vertical="bottom"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0"/>
        <color rgb="FF000000"/>
        <name val="Arial"/>
        <family val="2"/>
        <scheme val="none"/>
      </font>
      <alignment horizontal="center" vertical="center" textRotation="0" wrapText="1"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numFmt numFmtId="0" formatCode="General"/>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numFmt numFmtId="0" formatCode="General"/>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2"/>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1"/>
        <color rgb="FF000000"/>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1"/>
        <color rgb="FF000000"/>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strike val="0"/>
        <outline val="0"/>
        <shadow val="0"/>
        <u val="none"/>
        <vertAlign val="baseline"/>
        <sz val="11"/>
        <color rgb="FF000000"/>
        <name val="Arial"/>
        <family val="2"/>
        <scheme val="none"/>
      </font>
      <alignment horizontal="center" vertical="center" textRotation="0" wrapText="0" indent="0" justifyLastLine="0" shrinkToFit="0" readingOrder="0"/>
      <protection locked="1" hidden="1"/>
    </dxf>
    <dxf>
      <font>
        <b/>
        <strike val="0"/>
        <outline val="0"/>
        <shadow val="0"/>
        <u val="none"/>
        <vertAlign val="baseline"/>
        <sz val="11"/>
        <color rgb="FF000000"/>
        <name val="Arial"/>
        <family val="2"/>
        <scheme val="none"/>
      </font>
      <alignment horizontal="center" vertical="center" textRotation="0" wrapText="0" indent="0" justifyLastLine="0" shrinkToFit="0" readingOrder="0"/>
      <protection locked="1" hidden="1"/>
    </dxf>
    <dxf>
      <font>
        <b/>
        <strike val="0"/>
        <outline val="0"/>
        <shadow val="0"/>
        <u val="none"/>
        <vertAlign val="baseline"/>
        <sz val="11"/>
        <color rgb="FF000000"/>
        <name val="Arial"/>
        <family val="2"/>
        <scheme val="none"/>
      </font>
      <alignment horizontal="center" vertical="center" textRotation="0" wrapText="0" indent="0" justifyLastLine="0" shrinkToFit="0" readingOrder="0"/>
      <protection locked="1" hidden="1"/>
    </dxf>
    <dxf>
      <font>
        <strike val="0"/>
        <outline val="0"/>
        <shadow val="0"/>
        <u val="none"/>
        <vertAlign val="baseline"/>
        <sz val="11"/>
        <color rgb="FF000000"/>
        <name val="Arial"/>
        <family val="2"/>
        <scheme val="none"/>
      </font>
      <alignment horizontal="center" vertical="center" textRotation="0" wrapText="0" indent="0" justifyLastLine="0" shrinkToFit="0" readingOrder="0"/>
      <protection locked="1" hidden="1"/>
    </dxf>
    <dxf>
      <font>
        <b/>
        <strike val="0"/>
        <outline val="0"/>
        <shadow val="0"/>
        <u val="none"/>
        <vertAlign val="baseline"/>
        <sz val="11"/>
        <name val="Arial"/>
        <family val="2"/>
        <scheme val="none"/>
      </font>
      <alignment horizontal="center" vertical="center" textRotation="0" wrapText="0" indent="0" justifyLastLine="0" shrinkToFit="0" readingOrder="0"/>
      <protection locked="1" hidden="1"/>
    </dxf>
    <dxf>
      <font>
        <b/>
        <i val="0"/>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protection locked="1" hidden="1"/>
    </dxf>
    <dxf>
      <font>
        <b/>
        <strike val="0"/>
        <outline val="0"/>
        <shadow val="0"/>
        <u val="none"/>
        <vertAlign val="baseline"/>
        <sz val="11"/>
        <name val="Arial"/>
        <family val="2"/>
        <scheme val="none"/>
      </font>
      <alignment horizontal="center" vertical="center" textRotation="0" wrapText="0" indent="0" justifyLastLine="0" shrinkToFit="0" readingOrder="0"/>
      <protection locked="1" hidden="1"/>
    </dxf>
    <dxf>
      <protection locked="1" hidden="1"/>
    </dxf>
    <dxf>
      <protection locked="1" hidden="1"/>
    </dxf>
    <dxf>
      <font>
        <strike val="0"/>
        <outline val="0"/>
        <shadow val="0"/>
        <u val="none"/>
        <vertAlign val="baseline"/>
        <sz val="14"/>
        <name val="Arial"/>
        <family val="2"/>
        <scheme val="none"/>
      </font>
      <alignment vertical="center" textRotation="0" wrapText="0" indent="0" justifyLastLine="0" shrinkToFit="1" readingOrder="0"/>
      <protection locked="1" hidden="1"/>
    </dxf>
    <dxf>
      <font>
        <b/>
        <i val="0"/>
        <color auto="1"/>
      </font>
      <fill>
        <patternFill>
          <bgColor rgb="FFC00000"/>
        </patternFill>
      </fill>
    </dxf>
    <dxf>
      <protection locked="1" hidden="1"/>
    </dxf>
    <dxf>
      <font>
        <b/>
        <strike val="0"/>
        <outline val="0"/>
        <shadow val="0"/>
        <u val="none"/>
        <vertAlign val="baseline"/>
        <sz val="11"/>
        <color rgb="FF000000"/>
        <name val="Arial"/>
        <family val="2"/>
        <scheme val="none"/>
      </font>
      <numFmt numFmtId="30" formatCode="@"/>
      <alignment horizontal="center" vertical="bottom" textRotation="0" indent="0" justifyLastLine="0" shrinkToFit="0" readingOrder="0"/>
      <protection locked="1" hidden="1"/>
    </dxf>
    <dxf>
      <protection locked="1" hidden="1"/>
    </dxf>
    <dxf>
      <font>
        <b/>
        <strike val="0"/>
        <outline val="0"/>
        <shadow val="0"/>
        <u val="none"/>
        <vertAlign val="baseline"/>
        <sz val="16"/>
        <color rgb="FF000000"/>
        <name val="Arial"/>
        <family val="2"/>
        <scheme val="none"/>
      </font>
      <alignment horizontal="center" vertical="bottom" textRotation="0" wrapText="0" indent="0" justifyLastLine="0" shrinkToFit="0" readingOrder="0"/>
      <protection locked="1" hidden="1"/>
    </dxf>
    <dxf>
      <alignment horizontal="center" vertical="center" textRotation="0" wrapText="1" indent="0" justifyLastLine="0" shrinkToFit="0" readingOrder="0"/>
      <protection locked="1" hidden="1"/>
    </dxf>
    <dxf>
      <font>
        <b/>
      </font>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font>
        <b/>
      </font>
      <alignment horizontal="center" vertical="center" textRotation="0" wrapText="0" indent="0" justifyLastLine="0" shrinkToFit="0" readingOrder="0"/>
      <protection locked="1" hidden="1"/>
    </dxf>
    <dxf>
      <border outline="0">
        <top style="thin">
          <color theme="4" tint="0.39997558519241921"/>
        </top>
      </border>
    </dxf>
    <dxf>
      <alignment vertical="center" textRotation="0" wrapText="0" indent="0" justifyLastLine="0" shrinkToFit="0" readingOrder="0"/>
      <protection locked="1" hidden="1"/>
    </dxf>
    <dxf>
      <border outline="0">
        <bottom style="thin">
          <color theme="4" tint="0.39997558519241921"/>
        </bottom>
      </border>
    </dxf>
    <dxf>
      <font>
        <b/>
        <i val="0"/>
        <strike val="0"/>
        <condense val="0"/>
        <extend val="0"/>
        <outline val="0"/>
        <shadow val="0"/>
        <u val="none"/>
        <vertAlign val="baseline"/>
        <sz val="12"/>
        <color rgb="FFFFFFFF"/>
        <name val="Arial"/>
        <family val="2"/>
        <scheme val="none"/>
      </font>
      <fill>
        <patternFill patternType="solid">
          <fgColor rgb="FF4472C4"/>
          <bgColor rgb="FF4472C4"/>
        </patternFill>
      </fill>
      <alignment horizontal="center" vertical="bottom" textRotation="0" wrapText="0" indent="0" justifyLastLine="0" shrinkToFit="0" readingOrder="0"/>
      <protection locked="1" hidden="1"/>
    </dxf>
    <dxf>
      <font>
        <strike/>
        <color rgb="FFC00000"/>
      </font>
      <fill>
        <patternFill patternType="none">
          <bgColor auto="1"/>
        </patternFill>
      </fill>
    </dxf>
    <dxf>
      <font>
        <color theme="4"/>
      </font>
    </dxf>
    <dxf>
      <font>
        <b/>
        <i val="0"/>
      </font>
      <fill>
        <patternFill>
          <bgColor rgb="FFC00000"/>
        </patternFill>
      </fill>
    </dxf>
    <dxf>
      <font>
        <b/>
        <i val="0"/>
      </font>
      <fill>
        <patternFill>
          <bgColor rgb="FFC00000"/>
        </patternFill>
      </fill>
    </dxf>
    <dxf>
      <font>
        <b/>
        <i val="0"/>
      </font>
      <fill>
        <patternFill>
          <bgColor rgb="FFC00000"/>
        </patternFill>
      </fill>
    </dxf>
    <dxf>
      <font>
        <b/>
        <i val="0"/>
      </font>
      <fill>
        <patternFill>
          <bgColor rgb="FFC00000"/>
        </patternFill>
      </fill>
    </dxf>
    <dxf>
      <font>
        <b/>
        <i val="0"/>
      </font>
      <fill>
        <patternFill>
          <bgColor rgb="FFC00000"/>
        </patternFill>
      </fill>
    </dxf>
    <dxf>
      <font>
        <color theme="0"/>
      </font>
    </dxf>
    <dxf>
      <font>
        <color theme="0"/>
      </font>
    </dxf>
    <dxf>
      <font>
        <b/>
        <i val="0"/>
        <color auto="1"/>
      </font>
      <fill>
        <patternFill>
          <bgColor rgb="FFC00000"/>
        </patternFill>
      </fill>
    </dxf>
    <dxf>
      <font>
        <b/>
        <i val="0"/>
      </font>
      <fill>
        <patternFill>
          <bgColor theme="9"/>
        </patternFill>
      </fill>
    </dxf>
    <dxf>
      <font>
        <color theme="4" tint="0.59996337778862885"/>
      </font>
    </dxf>
    <dxf>
      <font>
        <b/>
        <i val="0"/>
        <color rgb="FFFFFF00"/>
      </font>
      <fill>
        <patternFill>
          <bgColor theme="4" tint="-0.24994659260841701"/>
        </patternFill>
      </fill>
    </dxf>
    <dxf>
      <font>
        <color theme="0"/>
      </font>
      <fill>
        <patternFill patternType="none">
          <bgColor auto="1"/>
        </patternFill>
      </fill>
    </dxf>
    <dxf>
      <font>
        <color theme="2"/>
      </font>
      <fill>
        <patternFill>
          <bgColor theme="2"/>
        </patternFill>
      </fill>
    </dxf>
    <dxf>
      <font>
        <color theme="2"/>
      </font>
      <fill>
        <patternFill>
          <bgColor theme="2"/>
        </patternFill>
      </fill>
    </dxf>
    <dxf>
      <font>
        <color theme="2"/>
      </font>
      <fill>
        <patternFill>
          <fgColor theme="2"/>
          <bgColor theme="2"/>
        </patternFill>
      </fill>
    </dxf>
    <dxf>
      <font>
        <color theme="2"/>
      </font>
      <fill>
        <patternFill>
          <bgColor theme="2"/>
        </patternFill>
      </fill>
    </dxf>
    <dxf>
      <font>
        <color theme="2"/>
      </font>
      <fill>
        <patternFill>
          <bgColor theme="2"/>
        </patternFill>
      </fill>
    </dxf>
    <dxf>
      <font>
        <color theme="4"/>
      </font>
      <fill>
        <patternFill>
          <bgColor theme="4"/>
        </patternFill>
      </fill>
    </dxf>
    <dxf>
      <font>
        <color theme="4" tint="0.39994506668294322"/>
      </font>
      <fill>
        <patternFill>
          <fgColor auto="1"/>
          <bgColor theme="4" tint="0.39994506668294322"/>
        </patternFill>
      </fill>
    </dxf>
    <dxf>
      <font>
        <b/>
        <i val="0"/>
      </font>
      <fill>
        <patternFill>
          <bgColor rgb="FFC00000"/>
        </patternFill>
      </fill>
    </dxf>
    <dxf>
      <font>
        <b/>
        <i val="0"/>
      </font>
      <fill>
        <patternFill>
          <bgColor theme="9"/>
        </patternFill>
      </fill>
    </dxf>
    <dxf>
      <font>
        <b/>
        <i val="0"/>
      </font>
      <fill>
        <patternFill>
          <bgColor rgb="FFC00000"/>
        </patternFill>
      </fill>
    </dxf>
    <dxf>
      <font>
        <b/>
        <i val="0"/>
      </font>
      <fill>
        <patternFill>
          <bgColor theme="9"/>
        </patternFill>
      </fill>
    </dxf>
    <dxf>
      <fill>
        <patternFill>
          <bgColor theme="9"/>
        </patternFill>
      </fill>
    </dxf>
    <dxf>
      <font>
        <b/>
        <i val="0"/>
      </font>
      <fill>
        <patternFill>
          <bgColor rgb="FFC00000"/>
        </patternFill>
      </fill>
    </dxf>
    <dxf>
      <font>
        <b/>
        <i val="0"/>
      </font>
      <fill>
        <patternFill>
          <bgColor theme="9"/>
        </patternFill>
      </fill>
    </dxf>
    <dxf>
      <font>
        <b/>
        <i val="0"/>
      </font>
      <fill>
        <patternFill>
          <bgColor rgb="FFC00000"/>
        </patternFill>
      </fill>
    </dxf>
    <dxf>
      <font>
        <color rgb="FF00B050"/>
      </font>
    </dxf>
    <dxf>
      <font>
        <color theme="0"/>
      </font>
    </dxf>
    <dxf>
      <font>
        <strike val="0"/>
        <color rgb="FFFF0000"/>
      </font>
    </dxf>
    <dxf>
      <font>
        <color theme="0"/>
      </font>
    </dxf>
    <dxf>
      <font>
        <color theme="0"/>
      </font>
    </dxf>
    <dxf>
      <font>
        <b/>
        <i val="0"/>
        <strike val="0"/>
        <color rgb="FFFFFF00"/>
      </font>
      <fill>
        <patternFill>
          <bgColor theme="4" tint="-0.24994659260841701"/>
        </patternFill>
      </fill>
    </dxf>
  </dxfs>
  <tableStyles count="0" defaultTableStyle="TableStyleMedium2" defaultPivotStyle="PivotStyleLight16"/>
  <colors>
    <mruColors>
      <color rgb="FFFFA3A3"/>
      <color rgb="FFFF4F4F"/>
      <color rgb="FF120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3" Type="http://schemas.openxmlformats.org/officeDocument/2006/relationships/customXml" Target="../ink/ink2.xml" /><Relationship Id="rId2" Type="http://schemas.openxmlformats.org/officeDocument/2006/relationships/image" Target="../media/image2.png" /><Relationship Id="rId1" Type="http://schemas.openxmlformats.org/officeDocument/2006/relationships/customXml" Target="../ink/ink1.xml" /><Relationship Id="rId5" Type="http://schemas.openxmlformats.org/officeDocument/2006/relationships/image" Target="../media/image3.png" /><Relationship Id="rId4" Type="http://schemas.openxmlformats.org/officeDocument/2006/relationships/customXml" Target="../ink/ink3.xml"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487800</xdr:colOff>
      <xdr:row>121</xdr:row>
      <xdr:rowOff>99600</xdr:rowOff>
    </xdr:from>
    <xdr:to>
      <xdr:col>0</xdr:col>
      <xdr:colOff>495000</xdr:colOff>
      <xdr:row>121</xdr:row>
      <xdr:rowOff>133440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put penna 1">
              <a:extLst>
                <a:ext uri="{FF2B5EF4-FFF2-40B4-BE49-F238E27FC236}">
                  <a16:creationId xmlns:a16="http://schemas.microsoft.com/office/drawing/2014/main" id="{87C23704-8ACA-4968-910C-4823347F9360}"/>
                </a:ext>
              </a:extLst>
            </xdr14:cNvPr>
            <xdr14:cNvContentPartPr/>
          </xdr14:nvContentPartPr>
          <xdr14:nvPr macro=""/>
          <xdr14:xfrm>
            <a:off x="1882260" y="15926340"/>
            <a:ext cx="7200" cy="33840"/>
          </xdr14:xfrm>
        </xdr:contentPart>
      </mc:Choice>
      <mc:Fallback xmlns="">
        <xdr:pic>
          <xdr:nvPicPr>
            <xdr:cNvPr id="2" name="Input penna 1">
              <a:extLst>
                <a:ext uri="{FF2B5EF4-FFF2-40B4-BE49-F238E27FC236}">
                  <a16:creationId xmlns:a16="http://schemas.microsoft.com/office/drawing/2014/main" id="{87C23704-8ACA-4968-910C-4823347F9360}"/>
                </a:ext>
              </a:extLst>
            </xdr:cNvPr>
            <xdr:cNvPicPr/>
          </xdr:nvPicPr>
          <xdr:blipFill>
            <a:blip xmlns:r="http://schemas.openxmlformats.org/officeDocument/2006/relationships" r:embed="rId2"/>
            <a:stretch>
              <a:fillRect/>
            </a:stretch>
          </xdr:blipFill>
          <xdr:spPr>
            <a:xfrm>
              <a:off x="1873260" y="15917700"/>
              <a:ext cx="24840" cy="51480"/>
            </a:xfrm>
            <a:prstGeom prst="rect">
              <a:avLst/>
            </a:prstGeom>
          </xdr:spPr>
        </xdr:pic>
      </mc:Fallback>
    </mc:AlternateContent>
    <xdr:clientData/>
  </xdr:twoCellAnchor>
  <xdr:oneCellAnchor>
    <xdr:from>
      <xdr:col>203</xdr:col>
      <xdr:colOff>487800</xdr:colOff>
      <xdr:row>1</xdr:row>
      <xdr:rowOff>99600</xdr:rowOff>
    </xdr:from>
    <xdr:ext cx="7200" cy="3384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put penna 3">
              <a:extLst>
                <a:ext uri="{FF2B5EF4-FFF2-40B4-BE49-F238E27FC236}">
                  <a16:creationId xmlns:a16="http://schemas.microsoft.com/office/drawing/2014/main" id="{82A1D50D-96B8-43F4-AB3A-CAEFA1CDBF29}"/>
                </a:ext>
              </a:extLst>
            </xdr14:cNvPr>
            <xdr14:cNvContentPartPr/>
          </xdr14:nvContentPartPr>
          <xdr14:nvPr macro=""/>
          <xdr14:xfrm>
            <a:off x="1882260" y="15926340"/>
            <a:ext cx="7200" cy="33840"/>
          </xdr14:xfrm>
        </xdr:contentPart>
      </mc:Choice>
      <mc:Fallback xmlns="">
        <xdr:pic>
          <xdr:nvPicPr>
            <xdr:cNvPr id="2" name="Input penna 1">
              <a:extLst>
                <a:ext uri="{FF2B5EF4-FFF2-40B4-BE49-F238E27FC236}">
                  <a16:creationId xmlns:a16="http://schemas.microsoft.com/office/drawing/2014/main" id="{87C23704-8ACA-4968-910C-4823347F9360}"/>
                </a:ext>
              </a:extLst>
            </xdr:cNvPr>
            <xdr:cNvPicPr/>
          </xdr:nvPicPr>
          <xdr:blipFill>
            <a:blip xmlns:r="http://schemas.openxmlformats.org/officeDocument/2006/relationships" r:embed="rId2"/>
            <a:stretch>
              <a:fillRect/>
            </a:stretch>
          </xdr:blipFill>
          <xdr:spPr>
            <a:xfrm>
              <a:off x="1873260" y="15917700"/>
              <a:ext cx="24840" cy="51480"/>
            </a:xfrm>
            <a:prstGeom prst="rect">
              <a:avLst/>
            </a:prstGeom>
          </xdr:spPr>
        </xdr:pic>
      </mc:Fallback>
    </mc:AlternateContent>
    <xdr:clientData/>
  </xdr:oneCellAnchor>
  <xdr:twoCellAnchor editAs="oneCell">
    <xdr:from>
      <xdr:col>31</xdr:col>
      <xdr:colOff>1445760</xdr:colOff>
      <xdr:row>14</xdr:row>
      <xdr:rowOff>142780</xdr:rowOff>
    </xdr:from>
    <xdr:to>
      <xdr:col>42</xdr:col>
      <xdr:colOff>36000</xdr:colOff>
      <xdr:row>14</xdr:row>
      <xdr:rowOff>176620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3" name="Input penna 2">
              <a:extLst>
                <a:ext uri="{FF2B5EF4-FFF2-40B4-BE49-F238E27FC236}">
                  <a16:creationId xmlns:a16="http://schemas.microsoft.com/office/drawing/2014/main" id="{367EE051-55D5-4619-987B-66681C124E8F}"/>
                </a:ext>
              </a:extLst>
            </xdr14:cNvPr>
            <xdr14:cNvContentPartPr/>
          </xdr14:nvContentPartPr>
          <xdr14:nvPr macro=""/>
          <xdr14:xfrm>
            <a:off x="38792831" y="3299637"/>
            <a:ext cx="36000" cy="33840"/>
          </xdr14:xfrm>
        </xdr:contentPart>
      </mc:Choice>
      <mc:Fallback xmlns="">
        <xdr:pic>
          <xdr:nvPicPr>
            <xdr:cNvPr id="3" name="Input penna 2">
              <a:extLst>
                <a:ext uri="{FF2B5EF4-FFF2-40B4-BE49-F238E27FC236}">
                  <a16:creationId xmlns:a16="http://schemas.microsoft.com/office/drawing/2014/main" id="{367EE051-55D5-4619-987B-66681C124E8F}"/>
                </a:ext>
              </a:extLst>
            </xdr:cNvPr>
            <xdr:cNvPicPr/>
          </xdr:nvPicPr>
          <xdr:blipFill>
            <a:blip xmlns:r="http://schemas.openxmlformats.org/officeDocument/2006/relationships" r:embed="rId5"/>
            <a:stretch>
              <a:fillRect/>
            </a:stretch>
          </xdr:blipFill>
          <xdr:spPr>
            <a:xfrm>
              <a:off x="38785991" y="3292797"/>
              <a:ext cx="50040" cy="47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7620</xdr:colOff>
      <xdr:row>3</xdr:row>
      <xdr:rowOff>22860</xdr:rowOff>
    </xdr:from>
    <xdr:to>
      <xdr:col>11</xdr:col>
      <xdr:colOff>609600</xdr:colOff>
      <xdr:row>21</xdr:row>
      <xdr:rowOff>76200</xdr:rowOff>
    </xdr:to>
    <xdr:pic>
      <xdr:nvPicPr>
        <xdr:cNvPr id="3" name="Immagine 2">
          <a:extLst>
            <a:ext uri="{FF2B5EF4-FFF2-40B4-BE49-F238E27FC236}">
              <a16:creationId xmlns:a16="http://schemas.microsoft.com/office/drawing/2014/main" id="{CFC3085B-3713-41EF-87F3-533F976B9E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8860" y="701040"/>
          <a:ext cx="2613660" cy="261366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8-14T00:06:15.971"/>
    </inkml:context>
    <inkml:brush xml:id="br0">
      <inkml:brushProperty name="width" value="0.05" units="cm"/>
      <inkml:brushProperty name="height" value="0.05" units="cm"/>
    </inkml:brush>
  </inkml:definitions>
  <inkml:trace contextRef="#ctx0" brushRef="#br0">11 1 1762,'-2'31'3971,"-1"-16"-63,10 15-288,-7-30-4005,6 17-672,-6-17-1473,-17-35-1282,17 35-96,-2-45 2371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0-05T09:37:16.586"/>
    </inkml:context>
    <inkml:brush xml:id="br0">
      <inkml:brushProperty name="width" value="0.05" units="cm"/>
      <inkml:brushProperty name="height" value="0.05" units="cm"/>
    </inkml:brush>
  </inkml:definitions>
  <inkml:trace contextRef="#ctx0" brushRef="#br0">11 1 1762,'-2'31'3971,"-1"-16"-63,10 15-288,-7-30-4005,6 17-672,-6-17-1473,-17-35-1282,17 35-96,-2-45 2371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0-05T12:23:14.961"/>
    </inkml:context>
    <inkml:brush xml:id="br0">
      <inkml:brushProperty name="width" value="0.04" units="cm"/>
      <inkml:brushProperty name="height" value="0.04" units="cm"/>
    </inkml:brush>
  </inkml:definitions>
  <inkml:trace contextRef="#ctx0" brushRef="#br0">1 1 3908,'0'0'3619,"37"29"97,-15-21-289,5 0-3491,-27-8-609,13 27-1441,-13-27-1185,-21 21-256,21-21 31</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4441FA9-9DC3-4891-A26F-BA1873B36838}" name="StarPlayer" displayName="StarPlayer" ref="A1:N43" totalsRowShown="0" headerRowDxfId="80" dataDxfId="78" headerRowBorderDxfId="79" tableBorderDxfId="77" headerRowCellStyle="Colore 1">
  <autoFilter ref="A1:N43" xr:uid="{E0585445-A2B8-4BD7-BE9A-E3CD4ADB88C6}"/>
  <sortState xmlns:xlrd2="http://schemas.microsoft.com/office/spreadsheetml/2017/richdata2" ref="A2:N43">
    <sortCondition ref="A1:A43"/>
  </sortState>
  <tableColumns count="14">
    <tableColumn id="1" xr3:uid="{B26E2B53-F1DD-43BC-83F1-7ABAF17E6ACF}" name="Star Player" dataDxfId="76"/>
    <tableColumn id="2" xr3:uid="{0D040575-0091-4C6E-A043-33E567AB7FB9}" name="Race" dataDxfId="75"/>
    <tableColumn id="3" xr3:uid="{3907595D-EEDE-4B0D-A858-6F454987B7A6}" name="Cost" dataDxfId="74"/>
    <tableColumn id="5" xr3:uid="{79DF67D1-5C31-4B4A-888A-3EEE7BB5D16E}" name="MA" dataDxfId="73"/>
    <tableColumn id="6" xr3:uid="{0A4B0294-C6BB-408A-884E-6900118311B7}" name="ST" dataDxfId="72"/>
    <tableColumn id="7" xr3:uid="{C498E9E6-7449-44C9-810F-DF91720DA977}" name="AG" dataDxfId="71"/>
    <tableColumn id="8" xr3:uid="{4C21EA8F-9E7E-4515-B768-9EC68899E559}" name="PA" dataDxfId="70"/>
    <tableColumn id="9" xr3:uid="{EC072206-1AC7-4FC1-9270-1B54D2943CD1}" name="AV" dataDxfId="69"/>
    <tableColumn id="10" xr3:uid="{3F630B07-2403-493A-9DDD-F5ED839CA877}" name="Hidden AG" dataDxfId="68"/>
    <tableColumn id="11" xr3:uid="{803690DC-50D8-4A45-BCA8-0FC3072932AB}" name="Hidden PA" dataDxfId="67"/>
    <tableColumn id="12" xr3:uid="{6C8A0E0C-5D3D-4F55-B9D1-86A7C495DAE2}" name="Hidden AV" dataDxfId="66"/>
    <tableColumn id="13" xr3:uid="{81477C92-8CC1-441B-98F9-D9FD88BE2808}" name="Starting Skills" dataDxfId="65"/>
    <tableColumn id="4" xr3:uid="{6283C6FA-76A8-4F42-873D-3E9F28102177}" name="Special Rules" dataDxfId="64"/>
    <tableColumn id="14" xr3:uid="{4D5E7DD0-2145-49DB-AFBA-0DF03F72E78D}" name="Colonna1" dataDxfId="6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FD6591-8815-4778-BE3D-AADBCAAB5A28}" name="AbilityT" displayName="AbilityT" ref="A1:B1048576" totalsRowShown="0" headerRowDxfId="62" dataDxfId="61">
  <autoFilter ref="A1:B1048576" xr:uid="{008FF81F-F6AC-4C1B-866E-20AC84DB84BF}"/>
  <sortState xmlns:xlrd2="http://schemas.microsoft.com/office/spreadsheetml/2017/richdata2" ref="A2:B66">
    <sortCondition descending="1" ref="B1:B1048576"/>
  </sortState>
  <tableColumns count="2">
    <tableColumn id="1" xr3:uid="{B73549C5-7721-4C74-900D-5F27656FA9B1}" name="Name" dataDxfId="60"/>
    <tableColumn id="2" xr3:uid="{C625F5B8-6B87-4255-9626-2D9EDCC0B77C}" name="Type" dataDxfId="5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eamT" displayName="TeamT" ref="A1:U230" headerRowDxfId="57" dataDxfId="56" totalsRowDxfId="55">
  <autoFilter ref="A1:U23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sortState xmlns:xlrd2="http://schemas.microsoft.com/office/spreadsheetml/2017/richdata2" ref="A2:U223">
    <sortCondition ref="B2:B223"/>
  </sortState>
  <tableColumns count="21">
    <tableColumn id="2" xr3:uid="{00000000-0010-0000-0000-000002000000}" name="Player" dataDxfId="54"/>
    <tableColumn id="1" xr3:uid="{00000000-0010-0000-0000-000001000000}" name="Race" totalsRowLabel="Totale" dataDxfId="53"/>
    <tableColumn id="3" xr3:uid="{00000000-0010-0000-0000-000003000000}" name="Cost" dataDxfId="52"/>
    <tableColumn id="4" xr3:uid="{00000000-0010-0000-0000-000004000000}" name="Max" dataDxfId="51"/>
    <tableColumn id="5" xr3:uid="{00000000-0010-0000-0000-000005000000}" name="MA" dataDxfId="50"/>
    <tableColumn id="6" xr3:uid="{00000000-0010-0000-0000-000006000000}" name="ST" dataDxfId="49"/>
    <tableColumn id="7" xr3:uid="{00000000-0010-0000-0000-000007000000}" name="AG" dataDxfId="48" totalsRowDxfId="47"/>
    <tableColumn id="8" xr3:uid="{00000000-0010-0000-0000-000008000000}" name="PA" dataDxfId="46" totalsRowDxfId="45"/>
    <tableColumn id="9" xr3:uid="{00000000-0010-0000-0000-000009000000}" name="AV" dataDxfId="44" totalsRowDxfId="43"/>
    <tableColumn id="10" xr3:uid="{00000000-0010-0000-0000-00000A000000}" name="Starting Skills" dataDxfId="42" totalsRowDxfId="41"/>
    <tableColumn id="11" xr3:uid="{154AACDF-781E-4A27-9952-A5D3558FEBB6}" name="General" dataDxfId="40" totalsRowDxfId="39"/>
    <tableColumn id="12" xr3:uid="{D43D4185-2477-41A1-AEE1-7D2C9DA52757}" name="Agility" dataDxfId="38" totalsRowDxfId="37"/>
    <tableColumn id="13" xr3:uid="{085EF795-6F0D-4D55-9D38-10FEA791010A}" name="Strength" dataDxfId="36" totalsRowDxfId="35"/>
    <tableColumn id="14" xr3:uid="{9F637125-7483-4521-9BDC-9E92A7C9D02B}" name="Passing" dataDxfId="34" totalsRowDxfId="33"/>
    <tableColumn id="15" xr3:uid="{2EF41628-A6C6-4C90-9F42-0ED8E968FDEB}" name="Mutation" dataDxfId="32" totalsRowDxfId="31"/>
    <tableColumn id="16" xr3:uid="{6C1154A9-83B0-43A4-A042-AC53C7DB1414}" name="Singles" dataDxfId="30" totalsRowDxfId="29">
      <calculatedColumnFormula>IF(TeamT[[#This Row],[General]]+TeamT[[#This Row],[Agility]]+TeamT[[#This Row],[Strength]]+TeamT[[#This Row],[Passing]]+TeamT[[#This Row],[Mutation]]&gt;0,IF(TeamT[[#This Row],[General]]=1,"G","")&amp;IF(TeamT[[#This Row],[Agility]]=1,"A","")&amp;IF(TeamT[[#This Row],[Strength]]=1,"S","")&amp;IF(TeamT[[#This Row],[Passing]]=1,"P","")&amp;IF(TeamT[[#This Row],[Mutation]]=1,"M",""),"Star")</calculatedColumnFormula>
    </tableColumn>
    <tableColumn id="17" xr3:uid="{2D1B0A98-B822-4D24-8F24-23C2AC7B800C}" name="Doubles" totalsRowFunction="count" dataDxfId="28" totalsRowDxfId="27">
      <calculatedColumnFormula>IF(TeamT[[#This Row],[General]]=2,"G","")&amp;IF(TeamT[[#This Row],[Agility]]=2,"A","")&amp;IF(TeamT[[#This Row],[Strength]]=2,"S","")&amp;IF(TeamT[[#This Row],[Passing]]=2,"P","")&amp;IF(TeamT[[#This Row],[Mutation]]=2,"M","")</calculatedColumnFormula>
    </tableColumn>
    <tableColumn id="18" xr3:uid="{4749A3BE-1058-4751-A5FA-978812881EE9}" name="Star Player Special Rule" dataDxfId="26" totalsRowDxfId="25"/>
    <tableColumn id="19" xr3:uid="{589383D8-120A-4230-9642-D9ED445CF2C5}" name="HiddenAG" dataDxfId="24" totalsRowDxfId="23"/>
    <tableColumn id="20" xr3:uid="{6CF3CFFC-FDC8-4DCB-8EBE-51DC132F9B01}" name="HiddenPA" dataDxfId="22" totalsRowDxfId="21"/>
    <tableColumn id="21" xr3:uid="{A8F2D05E-47B3-4621-99C7-AA71ED2AD88D}" name="HiddenAV" dataDxfId="20" totalsRowDxfId="1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D6EE46-4BF2-44D4-9F47-A19B85C01F9A}" name="Razze" displayName="Razze" ref="A1:Q33" totalsRowShown="0" headerRowDxfId="18" dataDxfId="17">
  <autoFilter ref="A1:Q33" xr:uid="{005B9C96-96CC-49BD-9E04-D08E112698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sortState xmlns:xlrd2="http://schemas.microsoft.com/office/spreadsheetml/2017/richdata2" ref="A2:Q31">
    <sortCondition ref="A2:A31"/>
  </sortState>
  <tableColumns count="17">
    <tableColumn id="1" xr3:uid="{5C189A68-3492-4D23-9875-EF18797502D4}" name="Race" dataDxfId="16"/>
    <tableColumn id="2" xr3:uid="{709953AB-1618-45B1-9AC2-18CCB514EA6E}" name="Team ReRoll Cost" dataDxfId="15"/>
    <tableColumn id="3" xr3:uid="{C2C65A15-982C-441B-87D4-22E3868FF9AE}" name="Positions" dataDxfId="14">
      <calculatedColumnFormula>COUNTIF(TeamT[[#All],[Race]],Razze[[#This Row],[Race]])-1</calculatedColumnFormula>
    </tableColumn>
    <tableColumn id="5" xr3:uid="{AE81F484-94FE-4E1C-A0DF-CF0835303624}" name="Apothecary" dataDxfId="13"/>
    <tableColumn id="4" xr3:uid="{4AC7B3A4-326C-4B0F-A77C-6AC1746E301F}" name="Special Rules" dataDxfId="12">
      <calculatedColumnFormula>_xlfn.CONCAT(IF($F2="Y",$F$1,""),IF($F2&lt;&gt;"-",", ",""),IF($G2="Y",$G$1,""),IF($G2&lt;&gt;"-",", ",""),IF($H2="Y",$H$1,""),IF($H2&lt;&gt;"-",", ",""),IF($I2="Y",$I$1,""),IF($I2&lt;&gt;"-",", ",""),IF($J2="Y",$J$1,""),IF($J2&lt;&gt;"-",", ",""),IF($K2="Y",$K$1,""),IF($K2&lt;&gt;"-",", ",""),IF($L2="Y",$L$1,""),IF($L2&lt;&gt;"-",", ",""),IF($M2="Y",$M$1,""),IF($M2&lt;&gt;"-",", ",""),IF($N2="Y",$N$1,""),IF($N2&lt;&gt;"-",", ",""),IF($O2="Y",$O$1,""),IF($O2&lt;&gt;"-",", ",""),IF($P2="Y",$P$1,""),IF($P2&lt;&gt;"-",", ",""),IF($Q2="Y",$Q$1,""))</calculatedColumnFormula>
    </tableColumn>
    <tableColumn id="6" xr3:uid="{A3049563-89E9-4134-8E7A-1A6AA18FD812}" name="Badlands Brawl" dataDxfId="11"/>
    <tableColumn id="7" xr3:uid="{19B3FD52-B988-4DE9-8CF1-448E0ED00CAC}" name="Elven Kingdoms League" dataDxfId="10"/>
    <tableColumn id="8" xr3:uid="{7D85E757-29D3-49D5-A694-78D311A3A2C7}" name="Halfling Thimble Cup" dataDxfId="9"/>
    <tableColumn id="9" xr3:uid="{CCED5E2A-F018-47C4-93EE-1D6421EDCB50}" name="Lustrian Superleague" dataDxfId="8"/>
    <tableColumn id="10" xr3:uid="{CCCE8DF7-5EA4-40FE-BCBA-B235E833E7C1}" name="Old World Classic" dataDxfId="7"/>
    <tableColumn id="11" xr3:uid="{FDDD9C68-B3CF-49BA-80F0-AE484451FC9C}" name="Sylvanian Spotlight" dataDxfId="6"/>
    <tableColumn id="12" xr3:uid="{6724400D-7AA8-47B0-B745-946E57CCEDD5}" name="Underworld Challenge" dataDxfId="5"/>
    <tableColumn id="13" xr3:uid="{3603113C-3354-4007-9467-477618E5750D}" name="Worlds Edge Superleague" dataDxfId="4"/>
    <tableColumn id="14" xr3:uid="{FADAEED7-C4F8-492F-8ABB-ECC49A801841}" name="Bribery and Corruption" dataDxfId="3"/>
    <tableColumn id="15" xr3:uid="{E8FC8F65-9436-4B27-BFD8-4062D25063C1}" name="Favoured of …." dataDxfId="2"/>
    <tableColumn id="16" xr3:uid="{BD71547C-73DE-4084-B348-EAB3081FAA26}" name="Low Cost Linemen" dataDxfId="1"/>
    <tableColumn id="17" xr3:uid="{1DF92461-48AC-4993-A2F8-9C7E5A7ED6DD}" name="Masters of Undeath"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 /><Relationship Id="rId2" Type="http://schemas.openxmlformats.org/officeDocument/2006/relationships/drawing" Target="../drawings/drawing1.xml" /><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 /><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AMQ34"/>
  <sheetViews>
    <sheetView showGridLines="0" tabSelected="1" topLeftCell="A13" zoomScaleNormal="100" zoomScaleSheetLayoutView="41" workbookViewId="0">
      <selection activeCell="E19" sqref="E19:G19"/>
    </sheetView>
  </sheetViews>
  <sheetFormatPr defaultColWidth="0" defaultRowHeight="20.25" zeroHeight="1" x14ac:dyDescent="0.25"/>
  <cols>
    <col min="1" max="1" width="3.5546875" style="3" customWidth="1"/>
    <col min="2" max="2" width="5.1484375" style="24" customWidth="1"/>
    <col min="3" max="3" width="30.40234375" style="3" customWidth="1"/>
    <col min="4" max="4" width="1.22265625" style="30" customWidth="1"/>
    <col min="5" max="6" width="9.8046875" style="36" customWidth="1"/>
    <col min="7" max="7" width="9.8046875" style="32" customWidth="1"/>
    <col min="8" max="8" width="1.22265625" style="3" customWidth="1"/>
    <col min="9" max="9" width="5.0234375" style="32" customWidth="1"/>
    <col min="10" max="10" width="5.1484375" style="32" customWidth="1"/>
    <col min="11" max="13" width="4.77734375" style="32" customWidth="1"/>
    <col min="14" max="14" width="49.16015625" style="3" customWidth="1"/>
    <col min="15" max="15" width="52.9609375" style="32" customWidth="1"/>
    <col min="16" max="17" width="3.796875" style="3" customWidth="1"/>
    <col min="18" max="24" width="5.76171875" style="3" customWidth="1"/>
    <col min="25" max="25" width="5.26953125" style="3" customWidth="1"/>
    <col min="26" max="26" width="7.84375" style="3" customWidth="1"/>
    <col min="27" max="27" width="3.796875" style="3" customWidth="1"/>
    <col min="28" max="28" width="12.9921875" style="3" customWidth="1"/>
    <col min="29" max="29" width="8.94921875" style="3" customWidth="1"/>
    <col min="30" max="30" width="7.23046875" style="3" customWidth="1"/>
    <col min="31" max="35" width="3.796875" style="3" customWidth="1"/>
    <col min="36" max="41" width="20.71484375" style="3" customWidth="1"/>
    <col min="42" max="42" width="20.10546875" style="30" customWidth="1"/>
    <col min="43" max="44" width="10.78515625" style="30" customWidth="1"/>
    <col min="45" max="53" width="10.78515625" style="30" hidden="1" customWidth="1"/>
    <col min="54" max="54" width="15.69140625" style="3" hidden="1" customWidth="1"/>
    <col min="55" max="1028" width="10.78515625" style="3" hidden="1" customWidth="1"/>
    <col min="1029" max="16384" width="8.703125" style="3" hidden="1"/>
  </cols>
  <sheetData>
    <row r="1" spans="2:59 1030:1031" s="25" customFormat="1" x14ac:dyDescent="0.25">
      <c r="B1" s="24"/>
      <c r="D1" s="26"/>
      <c r="E1" s="27"/>
      <c r="F1" s="27"/>
      <c r="G1" s="28"/>
      <c r="I1" s="28"/>
      <c r="J1" s="28"/>
      <c r="K1" s="28"/>
      <c r="L1" s="28"/>
      <c r="M1" s="28"/>
      <c r="O1" s="28"/>
      <c r="AP1" s="26"/>
      <c r="AQ1" s="26"/>
      <c r="AR1" s="26"/>
      <c r="AS1" s="26"/>
      <c r="AT1" s="26"/>
      <c r="AU1" s="26"/>
      <c r="AV1" s="26"/>
      <c r="AW1" s="26"/>
      <c r="AX1" s="26"/>
      <c r="AY1" s="26"/>
      <c r="AZ1" s="26"/>
      <c r="BA1" s="26"/>
    </row>
    <row r="2" spans="2:59 1030:1031" s="25" customFormat="1" ht="0.6" customHeight="1" thickBot="1" x14ac:dyDescent="0.3">
      <c r="B2" s="24"/>
      <c r="D2" s="26"/>
      <c r="E2" s="27"/>
      <c r="F2" s="27"/>
      <c r="G2" s="28"/>
      <c r="I2" s="28"/>
      <c r="J2" s="28"/>
      <c r="K2" s="28"/>
      <c r="L2" s="28"/>
      <c r="M2" s="28"/>
      <c r="O2" s="28"/>
      <c r="AP2" s="26"/>
      <c r="AQ2" s="26"/>
      <c r="AR2" s="26"/>
      <c r="AS2" s="26"/>
      <c r="AT2" s="26"/>
      <c r="AU2" s="26"/>
      <c r="AV2" s="26"/>
      <c r="AW2" s="26"/>
      <c r="AX2" s="26"/>
      <c r="AY2" s="26"/>
      <c r="AZ2" s="26"/>
      <c r="BA2" s="26"/>
    </row>
    <row r="3" spans="2:59 1030:1031" s="25" customFormat="1" ht="22.9" customHeight="1" x14ac:dyDescent="0.3">
      <c r="B3" s="282" t="s">
        <v>0</v>
      </c>
      <c r="C3" s="280" t="s">
        <v>383</v>
      </c>
      <c r="D3" s="284" t="s">
        <v>384</v>
      </c>
      <c r="E3" s="285"/>
      <c r="F3" s="285"/>
      <c r="G3" s="285"/>
      <c r="H3" s="286"/>
      <c r="I3" s="277" t="s">
        <v>385</v>
      </c>
      <c r="J3" s="278"/>
      <c r="K3" s="278"/>
      <c r="L3" s="278"/>
      <c r="M3" s="279"/>
      <c r="N3" s="280" t="s">
        <v>221</v>
      </c>
      <c r="O3" s="284" t="s">
        <v>406</v>
      </c>
      <c r="P3" s="325" t="s">
        <v>647</v>
      </c>
      <c r="Q3" s="327" t="s">
        <v>218</v>
      </c>
      <c r="R3" s="337" t="s">
        <v>6</v>
      </c>
      <c r="S3" s="335" t="s">
        <v>7</v>
      </c>
      <c r="T3" s="335" t="s">
        <v>9</v>
      </c>
      <c r="U3" s="335" t="s">
        <v>8</v>
      </c>
      <c r="V3" s="335" t="s">
        <v>10</v>
      </c>
      <c r="W3" s="335" t="s">
        <v>11</v>
      </c>
      <c r="X3" s="335" t="s">
        <v>12</v>
      </c>
      <c r="Y3" s="358" t="s">
        <v>13</v>
      </c>
      <c r="Z3" s="360" t="s">
        <v>14</v>
      </c>
      <c r="AA3" s="339" t="s">
        <v>369</v>
      </c>
      <c r="AB3" s="286" t="s">
        <v>15</v>
      </c>
      <c r="AC3" s="333" t="s">
        <v>575</v>
      </c>
      <c r="AD3" s="270" t="s">
        <v>16</v>
      </c>
      <c r="AE3" s="272" t="s">
        <v>386</v>
      </c>
      <c r="AF3" s="273"/>
      <c r="AG3" s="273"/>
      <c r="AH3" s="273"/>
      <c r="AI3" s="274"/>
      <c r="AJ3" s="275" t="s">
        <v>299</v>
      </c>
      <c r="AK3" s="266" t="s">
        <v>300</v>
      </c>
      <c r="AL3" s="266" t="s">
        <v>301</v>
      </c>
      <c r="AM3" s="266" t="s">
        <v>302</v>
      </c>
      <c r="AN3" s="266" t="s">
        <v>303</v>
      </c>
      <c r="AO3" s="268" t="s">
        <v>304</v>
      </c>
      <c r="AP3" s="317" t="s">
        <v>570</v>
      </c>
      <c r="AQ3" s="26"/>
      <c r="AR3" s="26"/>
      <c r="AS3" s="26"/>
      <c r="AT3" s="26"/>
      <c r="AU3" s="26"/>
      <c r="AV3" s="26"/>
      <c r="AW3" s="26"/>
      <c r="AX3" s="26"/>
      <c r="AY3" s="26"/>
      <c r="AZ3" s="26"/>
      <c r="BA3" s="26"/>
    </row>
    <row r="4" spans="2:59 1030:1031" s="24" customFormat="1" ht="23.45" customHeight="1" thickBot="1" x14ac:dyDescent="0.3">
      <c r="B4" s="283"/>
      <c r="C4" s="281"/>
      <c r="D4" s="287"/>
      <c r="E4" s="288"/>
      <c r="F4" s="288"/>
      <c r="G4" s="288"/>
      <c r="H4" s="289"/>
      <c r="I4" s="129" t="s">
        <v>1</v>
      </c>
      <c r="J4" s="130" t="s">
        <v>2</v>
      </c>
      <c r="K4" s="130" t="s">
        <v>3</v>
      </c>
      <c r="L4" s="130" t="s">
        <v>4</v>
      </c>
      <c r="M4" s="131" t="s">
        <v>5</v>
      </c>
      <c r="N4" s="281"/>
      <c r="O4" s="287"/>
      <c r="P4" s="326"/>
      <c r="Q4" s="328"/>
      <c r="R4" s="338"/>
      <c r="S4" s="336"/>
      <c r="T4" s="336"/>
      <c r="U4" s="336"/>
      <c r="V4" s="336"/>
      <c r="W4" s="336"/>
      <c r="X4" s="336"/>
      <c r="Y4" s="359"/>
      <c r="Z4" s="361"/>
      <c r="AA4" s="340"/>
      <c r="AB4" s="289"/>
      <c r="AC4" s="334"/>
      <c r="AD4" s="271"/>
      <c r="AE4" s="156" t="s">
        <v>1</v>
      </c>
      <c r="AF4" s="156" t="s">
        <v>2</v>
      </c>
      <c r="AG4" s="156" t="s">
        <v>3</v>
      </c>
      <c r="AH4" s="156" t="s">
        <v>4</v>
      </c>
      <c r="AI4" s="156" t="s">
        <v>5</v>
      </c>
      <c r="AJ4" s="276"/>
      <c r="AK4" s="267"/>
      <c r="AL4" s="267"/>
      <c r="AM4" s="267"/>
      <c r="AN4" s="267"/>
      <c r="AO4" s="269"/>
      <c r="AP4" s="318"/>
      <c r="AQ4" s="29"/>
      <c r="AR4" s="29"/>
      <c r="AS4" s="29"/>
      <c r="AT4" s="29"/>
      <c r="AU4" s="29"/>
      <c r="AV4" s="29"/>
      <c r="AW4" s="29"/>
      <c r="AX4" s="29"/>
      <c r="AY4" s="29"/>
      <c r="AZ4" s="29"/>
      <c r="BA4" s="29"/>
    </row>
    <row r="5" spans="2:59 1030:1031" ht="34.9" customHeight="1" thickBot="1" x14ac:dyDescent="0.2">
      <c r="B5" s="179">
        <v>1</v>
      </c>
      <c r="C5" s="109"/>
      <c r="D5" s="70">
        <f>COUNTIF($E$5:$E$20,E5)</f>
        <v>0</v>
      </c>
      <c r="E5" s="290"/>
      <c r="F5" s="290"/>
      <c r="G5" s="290"/>
      <c r="H5" s="72" t="str">
        <f>IF($E5&lt;&gt;"",VLOOKUP(E5,TeamT[],4,FALSE),"")</f>
        <v/>
      </c>
      <c r="I5" s="229" t="str">
        <f>IF($E5="","",IF(VLOOKUP($E5,TeamT[],5,FALSE)+COUNTIF($AJ5:$AO5,"=+MA")+$AE5&gt;9,9,IF(VLOOKUP($E5,TeamT[],5,FALSE)+COUNTIF($AJ5:$AO5,"=+MA")+$AE5&lt;1,1,VLOOKUP($E5,TeamT[],5,FALSE)+COUNTIF($AJ5:$AO5,"=+MA")+$AE5)))</f>
        <v/>
      </c>
      <c r="J5" s="230" t="str">
        <f>IF($E5="","",IF(VLOOKUP($E5,TeamT[],6,FALSE)+COUNTIF($AJ5:$AO5,"=+ST")+$AF5&gt;8,8,IF(VLOOKUP($E5,TeamT[],6,FALSE)+COUNTIF($AJ5:$AO5,"=+ST")+$AF5&lt;1,1,VLOOKUP($E5,TeamT[],6,FALSE)+COUNTIF($AJ5:$AO5,"=+ST")+$AF5)))</f>
        <v/>
      </c>
      <c r="K5" s="231" t="str">
        <f>IF($E5="","",IF(VLOOKUP($E5,TeamT[],19,FALSE)-COUNTIF($AJ5:$AO5,"=+AG")-$AG5&gt;6,6,IF(VLOOKUP($E5,TeamT[],19,FALSE)-COUNTIF($AJ5:$AO5,"=+AG")-$AG5&lt;1,1,VLOOKUP($E5,TeamT[],19,FALSE)-COUNTIF($AJ5:$AO5,"=+AG")-$AG5)))</f>
        <v/>
      </c>
      <c r="L5" s="231" t="str">
        <f>IF($E5="","",IF(VLOOKUP($E5,TeamT[],20,FALSE)="-","-",IF(VLOOKUP($E5,TeamT[],20,FALSE)-COUNTIF($AJ5:$AO5,"=+PA")-$AH5&gt;6,6,IF(VLOOKUP($E5,TeamT[],20,FALSE)-COUNTIF($AJ5:$AO5,"=+PA")-$AH5&lt;1,1,VLOOKUP($E5,TeamT[],20,FALSE)-COUNTIF($AJ5:$AO5,"=+PA")-$AH5))))</f>
        <v/>
      </c>
      <c r="M5" s="231" t="str">
        <f>IF($E5="","",IF(VLOOKUP($E5,TeamT[],21,FALSE)+COUNTIF($AJ5:$AO5,"=+AV")+$AI5&gt;11,11,IF(VLOOKUP($E5,TeamT[],21,FALSE)+COUNTIF($AJ5:$AO5,"=+AV")+$AI5&lt;3,3,VLOOKUP($E5,TeamT[],21,FALSE)+COUNTIF($AJ5:$AO5,"=+AV")+$AI5)))</f>
        <v/>
      </c>
      <c r="N5" s="222" t="str">
        <f>IF($E5="","",IF(COUNTIF($E$5:$E$20,$E5)&gt;VLOOKUP($E5,TeamT[],4,FALSE),"ERROR! Too many Player wit same role",(IF(Reces!$BR4&lt;&gt;0,"ERROR! Too many Big Guys!",(IF(Reces!$BT4&lt;&gt;0,"ERROR! Too many Star Players!",VLOOKUP($E5,TeamT[],10,FALSE)))))))</f>
        <v/>
      </c>
      <c r="O5" s="105" t="str">
        <f>CONCATENATE($AJ5,IF($AK5&lt;&gt;"",", ",""),$AK5,IF($AL5&lt;&gt;"",", ",""),$AL5,IF($AM5&lt;&gt;"",", ",""),$AM5,IF($AN5&lt;&gt;"",", ",""),$AN5,IF($AO5&lt;&gt;"",", ",""),$AO5,IF($AP5&lt;&gt;"","[",""),$AP5,IF($AP5&lt;&gt;"","]",""))</f>
        <v/>
      </c>
      <c r="P5" s="253"/>
      <c r="Q5" s="253"/>
      <c r="R5" s="181"/>
      <c r="S5" s="181"/>
      <c r="T5" s="181"/>
      <c r="U5" s="181"/>
      <c r="V5" s="181"/>
      <c r="W5" s="181"/>
      <c r="X5" s="182"/>
      <c r="Y5" s="116">
        <f t="shared" ref="Y5:Y20" si="0">SUM($R5,$S5,$T5,$U5,$V5*3,$W5*2,$X5*4)+$AD5</f>
        <v>0</v>
      </c>
      <c r="Z5" s="172">
        <f>IF(LEFT($E5,1)="*","Star",$Y5+IF($AJ5=0,0,IF(OR($AJ5="+MA",$AJ5="+ST",$AJ5="+AG",$AJ5="+PA",$AJ5="+AV"),-18,IF(VLOOKUP($AJ5,AbilityT[],2,FALSE)="General",-6*VLOOKUP($E5,TeamT[],11,FALSE),IF(VLOOKUP($AJ5,AbilityT[],2,FALSE)="Agility",-6*VLOOKUP($E5,TeamT[],12,FALSE),IF(VLOOKUP($AJ5,AbilityT[],2,FALSE)="Strength",-6*VLOOKUP($E5,TeamT[],13,FALSE),IF(VLOOKUP($AJ5,AbilityT[],2,FALSE)="Passing",-6*VLOOKUP($E5,TeamT[],14,FALSE),IF(VLOOKUP($AJ5,AbilityT[],2,FALSE)="Mutation",-6*VLOOKUP($E5,TeamT[],15,FALSE),IF(VLOOKUP($AJ5,AbilityT[],2,FALSE)="General_R",-3*VLOOKUP($E5,TeamT[],11,FALSE),IF(VLOOKUP($AJ5,AbilityT[],2,FALSE)="Agility_R",-3*VLOOKUP($E5,TeamT[],12,FALSE),IF(VLOOKUP($AJ5,AbilityT[],2,FALSE)="Strength_R",-3*VLOOKUP($E5,TeamT[],13,FALSE),IF(VLOOKUP($AJ5,AbilityT[],2,FALSE)="Passing_R",-3*VLOOKUP($E5,TeamT[],14,FALSE),IF(VLOOKUP($AJ5,AbilityT[],2,FALSE)="Mutation_R",-3*VLOOKUP($E5,TeamT[],15,FALSE),"ERROR")))))))))))+IF($AK5=0,0,IF(OR($AK5="+MA",$AK5="+ST",$AK5="+AG",$AK5="+PA",$AK5="+AV"),-20,IF(VLOOKUP($AK5,AbilityT[],2,FALSE)="General",IF(VLOOKUP($E5,TeamT[],11,FALSE)=1,-8*VLOOKUP($E5,TeamT[],11,FALSE),-7*VLOOKUP($E5,TeamT[],11,FALSE)),IF(VLOOKUP($AK5,AbilityT[],2,FALSE)="Agility",IF(VLOOKUP($E5,TeamT[],12,FALSE)=1,-8*VLOOKUP($E5,TeamT[],12,FALSE),-7*VLOOKUP($E5,TeamT[],12,FALSE)),IF(VLOOKUP($AK5,AbilityT[],2,FALSE)="Strength",IF(VLOOKUP($E5,TeamT[],13,FALSE)=1,-8*VLOOKUP($E5,TeamT[],13,FALSE),-7*VLOOKUP($E5,TeamT[],13,FALSE)),IF(VLOOKUP($AK5,AbilityT[],2,FALSE)="Passing",IF(VLOOKUP($E5,TeamT[],14,FALSE)=1,-8*VLOOKUP($E5,TeamT[],14,FALSE),-7*VLOOKUP($E5,TeamT[],14,FALSE)),IF(VLOOKUP($AK5,AbilityT[],2,FALSE)="Mutation",IF(VLOOKUP($E5,TeamT[],15,FALSE)=1,-8*VLOOKUP($E5,TeamT[],15,FALSE),-7*VLOOKUP($E5,TeamT[],15,FALSE)),IF(VLOOKUP($AK5,AbilityT[],2,FALSE)="General_R",-4*VLOOKUP($E5,TeamT[],11,FALSE),IF(VLOOKUP($AK5,AbilityT[],2,FALSE)="Agility_R",-4*VLOOKUP($E5,TeamT[],12,FALSE),IF(VLOOKUP($AK5,AbilityT[],2,FALSE)="Strength_R",-4*VLOOKUP($E5,TeamT[],13,FALSE),IF(VLOOKUP($AK5,AbilityT[],2,FALSE)="Passing_R",-4*VLOOKUP($E5,TeamT[],14,FALSE),IF(VLOOKUP($AK5,AbilityT[],2,FALSE)="Mutation_R",-4*VLOOKUP($E5,TeamT[],15,FALSE),"ERROR"))))))))))))+IF($AL5=0,0,IF(OR($AL5="+MA",$AL5="+ST",$AL5="+AG",$AL5="+PA",$AL5="+AV"),-24,IF(VLOOKUP($AL5,AbilityT[],2,FALSE)="General",IF(VLOOKUP($E5,TeamT[],11,FALSE)=1,-12*VLOOKUP($E5,TeamT[],11,FALSE),-9*VLOOKUP($E5,TeamT[],11,FALSE)),IF(VLOOKUP($AL5,AbilityT[],2,FALSE)="Agility",IF(VLOOKUP($E5,TeamT[],12,FALSE)=1,-12*VLOOKUP($E5,TeamT[],12,FALSE),-9*VLOOKUP($E5,TeamT[],12,FALSE)),IF(VLOOKUP($AL5,AbilityT[],2,FALSE)="Strength",IF(VLOOKUP($E5,TeamT[],13,FALSE)=1,-12*VLOOKUP($E5,TeamT[],13,FALSE),-9*VLOOKUP($E5,TeamT[],13,FALSE)),IF(VLOOKUP($AL5,AbilityT[],2,FALSE)="Passing",IF(VLOOKUP($E5,TeamT[],14,FALSE)=1,-12*VLOOKUP($E5,TeamT[],14,FALSE),-9*VLOOKUP($E5,TeamT[],14,FALSE)),IF(VLOOKUP($AL5,AbilityT[],2,FALSE)="Mutation",IF(VLOOKUP($E5,TeamT[],15,FALSE)=1,-12*VLOOKUP($E5,TeamT[],15,FALSE),-9*VLOOKUP($E5,TeamT[],15,FALSE)),IF(VLOOKUP($AL5,AbilityT[],2,FALSE)="General_R",-6*VLOOKUP($E5,TeamT[],11,FALSE),IF(VLOOKUP($AL5,AbilityT[],2,FALSE)="Agility_R",-6*VLOOKUP($E5,TeamT[],12,FALSE),IF(VLOOKUP($AL5,AbilityT[],2,FALSE)="Strength_R",-6*VLOOKUP($E5,TeamT[],13,FALSE),IF(VLOOKUP($AL5,AbilityT[],2,FALSE)="Passing_R",-6*VLOOKUP($E5,TeamT[],14,FALSE),IF(VLOOKUP($AL5,AbilityT[],2,FALSE)="Mutation_R",-6*VLOOKUP($E5,TeamT[],15,FALSE),"ERROR"))))))))))))+IF($AM5=0,0,IF(OR($AM5="+MA",$AM5="+ST",$AM5="+AG",$AM5="+PA",$AM5="+AV"),-28,IF(VLOOKUP($AM5,AbilityT[],2,FALSE)="General",IF(VLOOKUP($E5,TeamT[],11,FALSE)=1,-16*VLOOKUP($E5,TeamT[],11,FALSE),-11*VLOOKUP($E5,TeamT[],11,FALSE)),IF(VLOOKUP($AM5,AbilityT[],2,FALSE)="Agility",IF(VLOOKUP($E5,TeamT[],12,FALSE)=1,-16*VLOOKUP($E5,TeamT[],12,FALSE),-11*VLOOKUP($E5,TeamT[],12,FALSE)),IF(VLOOKUP($AM5,AbilityT[],2,FALSE)="Strength",IF(VLOOKUP($E5,TeamT[],13,FALSE)=1,-16*VLOOKUP($E5,TeamT[],13,FALSE),-11*VLOOKUP($E5,TeamT[],13,FALSE)),IF(VLOOKUP($AM5,AbilityT[],2,FALSE)="Passing",IF(VLOOKUP($E5,TeamT[],14,FALSE)=1,-16*VLOOKUP($E5,TeamT[],14,FALSE),-11*VLOOKUP($E5,TeamT[],14,FALSE)),IF(VLOOKUP($AM5,AbilityT[],2,FALSE)="Mutation",IF(VLOOKUP($E5,TeamT[],15,FALSE)=1,-16*VLOOKUP($E5,TeamT[],15,FALSE),-11*VLOOKUP($E5,TeamT[],15,FALSE)),IF(VLOOKUP($AM5,AbilityT[],2,FALSE)="General_R",-8*VLOOKUP($E5,TeamT[],11,FALSE),IF(VLOOKUP($AM5,AbilityT[],2,FALSE)="Agility_R",-8*VLOOKUP($E5,TeamT[],12,FALSE),IF(VLOOKUP($AM5,AbilityT[],2,FALSE)="Strength_R",-8*VLOOKUP($E5,TeamT[],13,FALSE),IF(VLOOKUP($AM5,AbilityT[],2,FALSE)="Passing_R",-8*VLOOKUP($E5,TeamT[],14,FALSE),IF(VLOOKUP($AM5,AbilityT[],2,FALSE)="Mutation_R",-8*VLOOKUP($E5,TeamT[],15,FALSE),"ERROR"))))))))))))+IF($AN5=0,0,IF(OR($AN5="+MA",$AN5="+ST",$AN5="+AG",$AN5="+PA",$AN5="+AV"),-32,IF(VLOOKUP($AN5,AbilityT[],2,FALSE)="General",IF(VLOOKUP($E5,TeamT[],11,FALSE)=1,-20*VLOOKUP($E5,TeamT[],11,FALSE),-13*VLOOKUP($E5,TeamT[],11,FALSE)),IF(VLOOKUP($AN5,AbilityT[],2,FALSE)="Agility",IF(VLOOKUP($E5,TeamT[],12,FALSE)=1,-20*VLOOKUP($E5,TeamT[],12,FALSE),-13*VLOOKUP($E5,TeamT[],12,FALSE)),IF(VLOOKUP($AN5,AbilityT[],2,FALSE)="Strength",IF(VLOOKUP($E5,TeamT[],13,FALSE)=1,-20*VLOOKUP($E5,TeamT[],13,FALSE),-13*VLOOKUP($E5,TeamT[],13,FALSE)),IF(VLOOKUP($AN5,AbilityT[],2,FALSE)="Passing",IF(VLOOKUP($E5,TeamT[],14,FALSE)=1,-20*VLOOKUP($E5,TeamT[],14,FALSE),-13*VLOOKUP($E5,TeamT[],14,FALSE)),IF(VLOOKUP($AN5,AbilityT[],2,FALSE)="Mutation",IF(VLOOKUP($E5,TeamT[],15,FALSE)=1,-20*VLOOKUP($E5,TeamT[],15,FALSE),-13*VLOOKUP($E5,TeamT[],15,FALSE)),IF(VLOOKUP($AN5,AbilityT[],2,FALSE)="General_R",-10*VLOOKUP($E5,TeamT[],11,FALSE),IF(VLOOKUP($AN5,AbilityT[],2,FALSE)="Agility_R",-10*VLOOKUP($E5,TeamT[],12,FALSE),IF(VLOOKUP($AN5,AbilityT[],2,FALSE)="Strength_R",-10*VLOOKUP($E5,TeamT[],13,FALSE),IF(VLOOKUP($AN5,AbilityT[],2,FALSE)="Passing_R",-10*VLOOKUP($E5,TeamT[],14,FALSE),IF(VLOOKUP($AN5,AbilityT[],2,FALSE)="Mutation_R",-10*VLOOKUP($E5,TeamT[],15,FALSE),"ERROR"))))))))))))+IF($AO5=0,0,IF(OR($AO5="+MA",$AO5="+ST",$AO5="+AG",$AO5="+PA",$AO5="+AV"),-50,IF(VLOOKUP($AO5,AbilityT[],2,FALSE)="General",IF(VLOOKUP($E5,TeamT[],11,FALSE)=1,-30*VLOOKUP($E5,TeamT[],11,FALSE),-20*VLOOKUP($E5,TeamT[],11,FALSE)),IF(VLOOKUP($AO5,AbilityT[],2,FALSE)="Agility",IF(VLOOKUP($E5,TeamT[],12,FALSE)=1,-30*VLOOKUP($E5,TeamT[],12,FALSE),-20*VLOOKUP($E5,TeamT[],12,FALSE)),IF(VLOOKUP($AO5,AbilityT[],2,FALSE)="Strength",IF(VLOOKUP($E5,TeamT[],13,FALSE)=1,-30*VLOOKUP($E5,TeamT[],13,FALSE),-20*VLOOKUP($E5,TeamT[],13,FALSE)),IF(VLOOKUP($AO5,AbilityT[],2,FALSE)="Passing",IF(VLOOKUP($E5,TeamT[],14,FALSE)=1,-30*VLOOKUP($E5,TeamT[],14,FALSE),-20*VLOOKUP($E5,TeamT[],14,FALSE)),IF(VLOOKUP($AO5,AbilityT[],2,FALSE)="Mutation",IF(VLOOKUP($E5,TeamT[],15,FALSE)=1,-30*VLOOKUP($E5,TeamT[],15,FALSE),-20*VLOOKUP($E5,TeamT[],15,FALSE)),IF(VLOOKUP($AO5,AbilityT[],2,FALSE)="General_R",-15*VLOOKUP($E5,TeamT[],11,FALSE),IF(VLOOKUP($AO5,AbilityT[],2,FALSE)="Agility_R",-15*VLOOKUP($E5,TeamT[],12,FALSE),IF(VLOOKUP($AO5,AbilityT[],2,FALSE)="Strength_R",-15*VLOOKUP($E5,TeamT[],13,FALSE),IF(VLOOKUP($AO5,AbilityT[],2,FALSE)="Passing_R",-15*VLOOKUP($E5,TeamT[],14,FALSE),IF(VLOOKUP($AO5,AbilityT[],2,FALSE)="Mutation_R",-15*VLOOKUP($E5,TeamT[],15,FALSE),"ERROR")))))))))))))+IF($AA5&lt;=5,-6*$AA5,-6*$AA5-4))</f>
        <v>0</v>
      </c>
      <c r="AA5" s="187"/>
      <c r="AB5" s="115">
        <f>IF($E5="",0,VLOOKUP($E5,TeamT[],3,FALSE)+IF($O$28="Tournament Setup",0,IF($AJ5="",0,IF($AJ5="+AV",10000,IF(OR($AJ5="+MA",$AJ5="+PA"),20000,IF($AJ5="+AG",40000,IF($AJ5="+ST",80000,20000*IF(VLOOKUP($AJ5,AbilityT[],2,FALSE)="General",VLOOKUP($E5,TeamT[],11,FALSE),IF(VLOOKUP($AJ5,AbilityT[],2,FALSE)="Agility",VLOOKUP($E5,TeamT[],12,FALSE),IF(VLOOKUP($AJ5,AbilityT[],2,FALSE)="Strength",VLOOKUP($E5,TeamT[],13,FALSE),IF(VLOOKUP($AJ5,AbilityT[],2,FALSE)="Passing",VLOOKUP($E5,TeamT[],14,FALSE),IF(VLOOKUP($AJ5,AbilityT[],2,FALSE)="Mutation",VLOOKUP($E5,TeamT[],15,FALSE),IF(VLOOKUP($AJ5,AbilityT[],2,FALSE)="General_R",0.5*VLOOKUP($E5,TeamT[],11,FALSE),IF(VLOOKUP($AJ5,AbilityT[],2,FALSE)="Agility_R",0.5*VLOOKUP($E5,TeamT[],12,FALSE),IF(VLOOKUP($AJ5,AbilityT[],2,FALSE)="Strength_R",0.5*VLOOKUP($E5,TeamT[],13,FALSE),IF(VLOOKUP($AJ5,AbilityT[],2,FALSE)="Passing_R",0.5*VLOOKUP($E5,TeamT[],14,FALSE),IF(VLOOKUP($AJ5,AbilityT[],2,FALSE)="Mutation_R",0.5*VLOOKUP($E5,TeamT[],15,FALSE),"ERROR")))))))))))))))+IF($AK5="",0,IF($AK5="+AV",10000,IF(OR($AK5="+MA",$AK5="+PA"),20000,IF($AK5="+AG",40000,IF($AK5="+ST",80000,20000*IF(VLOOKUP($AK5,AbilityT[],2,FALSE)="General",VLOOKUP($E5,TeamT[],11,FALSE),IF(VLOOKUP($AK5,AbilityT[],2,FALSE)="Agility",VLOOKUP($E5,TeamT[],12,FALSE),IF(VLOOKUP($AK5,AbilityT[],2,FALSE)="Strength",VLOOKUP($E5,TeamT[],13,FALSE),IF(VLOOKUP($AK5,AbilityT[],2,FALSE)="Passing",VLOOKUP($E5,TeamT[],14,FALSE),IF(VLOOKUP($AK5,AbilityT[],2,FALSE)="Mutation",VLOOKUP($E5,TeamT[],15,FALSE),IF(VLOOKUP($AK5,AbilityT[],2,FALSE)="General_R",0.5*VLOOKUP($E5,TeamT[],11,FALSE),IF(VLOOKUP($AK5,AbilityT[],2,FALSE)="Agility_R",0.5*VLOOKUP($E5,TeamT[],12,FALSE),IF(VLOOKUP($AK5,AbilityT[],2,FALSE)="Strength_R",0.5*VLOOKUP($E5,TeamT[],13,FALSE),IF(VLOOKUP($AK5,AbilityT[],2,FALSE)="Passing_R",0.5*VLOOKUP($E5,TeamT[],14,FALSE),IF(VLOOKUP($AK5,AbilityT[],2,FALSE)="Mutation_R",0.5*VLOOKUP($E5,TeamT[],15,FALSE),"ERROR")))))))))))))))+IF($AL5="",0,IF($AL5="+AV",10000,IF(OR($AL5="+MA",$AL5="+PA"),20000,IF($AL5="+AG",40000,IF($AL5="+ST",80000,20000*IF(VLOOKUP($AL5,AbilityT[],2,FALSE)="General",VLOOKUP($E5,TeamT[],11,FALSE),IF(VLOOKUP($AL5,AbilityT[],2,FALSE)="Agility",VLOOKUP($E5,TeamT[],12,FALSE),IF(VLOOKUP($AL5,AbilityT[],2,FALSE)="Strength",VLOOKUP($E5,TeamT[],13,FALSE),IF(VLOOKUP($AL5,AbilityT[],2,FALSE)="Passing",VLOOKUP($E5,TeamT[],14,FALSE),IF(VLOOKUP($AL5,AbilityT[],2,FALSE)="Mutation",VLOOKUP($E5,TeamT[],15,FALSE),IF(VLOOKUP($AL5,AbilityT[],2,FALSE)="General_R",0.5*VLOOKUP($E5,TeamT[],11,FALSE),IF(VLOOKUP($AL5,AbilityT[],2,FALSE)="Agility_R",0.5*VLOOKUP($E5,TeamT[],12,FALSE),IF(VLOOKUP($AL5,AbilityT[],2,FALSE)="Strength_R",0.5*VLOOKUP($E5,TeamT[],13,FALSE),IF(VLOOKUP($AL5,AbilityT[],2,FALSE)="Passing_R",0.5*VLOOKUP($E5,TeamT[],14,FALSE),IF(VLOOKUP($AL5,AbilityT[],2,FALSE)="Mutation_R",0.5*VLOOKUP($E5,TeamT[],15,FALSE),"ERROR")))))))))))))))+IF($AM5="",0,IF($AM5="+AV",10000,IF(OR($AM5="+MA",$AM5="+PA"),20000,IF($AM5="+AG",40000,IF($AM5="+ST",80000,20000*IF(VLOOKUP($AM5,AbilityT[],2,FALSE)="General",VLOOKUP($E5,TeamT[],11,FALSE),IF(VLOOKUP($AM5,AbilityT[],2,FALSE)="Agility",VLOOKUP($E5,TeamT[],12,FALSE),IF(VLOOKUP($AM5,AbilityT[],2,FALSE)="Strength",VLOOKUP($E5,TeamT[],13,FALSE),IF(VLOOKUP($AM5,AbilityT[],2,FALSE)="Passing",VLOOKUP($E5,TeamT[],14,FALSE),IF(VLOOKUP($AM5,AbilityT[],2,FALSE)="Mutation",VLOOKUP($E5,TeamT[],15,FALSE),IF(VLOOKUP($AM5,AbilityT[],2,FALSE)="General_R",0.5*VLOOKUP($E5,TeamT[],11,FALSE),IF(VLOOKUP($AM5,AbilityT[],2,FALSE)="Agility_R",0.5*VLOOKUP($E5,TeamT[],12,FALSE),IF(VLOOKUP($AM5,AbilityT[],2,FALSE)="Strength_R",0.5*VLOOKUP($E5,TeamT[],13,FALSE),IF(VLOOKUP($AM5,AbilityT[],2,FALSE)="Passing_R",0.5*VLOOKUP($E5,TeamT[],14,FALSE),IF(VLOOKUP($AM5,AbilityT[],2,FALSE)="Mutation_R",0.5*VLOOKUP($E5,TeamT[],15,FALSE),"ERROR")))))))))))))))+IF($AN5="",0,IF($AN5="+AV",10000,IF(OR($AN5="+MA",$AN5="+PA"),20000,IF($AN5="+AG",40000,IF($AN5="+ST",80000,20000*IF(VLOOKUP($AN5,AbilityT[],2,FALSE)="General",VLOOKUP($E5,TeamT[],11,FALSE),IF(VLOOKUP($AN5,AbilityT[],2,FALSE)="Agility",VLOOKUP($E5,TeamT[],12,FALSE),IF(VLOOKUP($AN5,AbilityT[],2,FALSE)="Strength",VLOOKUP($E5,TeamT[],13,FALSE),IF(VLOOKUP($AN5,AbilityT[],2,FALSE)="Passing",VLOOKUP($E5,TeamT[],14,FALSE),IF(VLOOKUP($AN5,AbilityT[],2,FALSE)="Mutation",VLOOKUP($E5,TeamT[],15,FALSE),IF(VLOOKUP($AN5,AbilityT[],2,FALSE)="General_R",0.5*VLOOKUP($E5,TeamT[],11,FALSE),IF(VLOOKUP($AN5,AbilityT[],2,FALSE)="Agility_R",0.5*VLOOKUP($E5,TeamT[],12,FALSE),IF(VLOOKUP($AN5,AbilityT[],2,FALSE)="Strength_R",0.5*VLOOKUP($E5,TeamT[],13,FALSE),IF(VLOOKUP($AN5,AbilityT[],2,FALSE)="Passing_R",0.5*VLOOKUP($E5,TeamT[],14,FALSE),IF(VLOOKUP($AN5,AbilityT[],2,FALSE)="Mutation_R",0.5*VLOOKUP($E5,TeamT[],15,FALSE),"ERROR")))))))))))))))+IF($AO5="",0,IF($AO5="+AV",10000,IF(OR($AO5="+MA",$AO5="+PA"),20000,IF($AO5="+AG",40000,IF($AO5="+ST",80000,20000*IF(VLOOKUP($AO5,AbilityT[],2,FALSE)="General",VLOOKUP($E5,TeamT[],11,FALSE),IF(VLOOKUP($AO5,AbilityT[],2,FALSE)="Agility",VLOOKUP($E5,TeamT[],12,FALSE),IF(VLOOKUP($AO5,AbilityT[],2,FALSE)="Strength",VLOOKUP($E5,TeamT[],13,FALSE),IF(VLOOKUP($AO5,AbilityT[],2,FALSE)="Passing",VLOOKUP($E5,TeamT[],14,FALSE),IF(VLOOKUP($AO5,AbilityT[],2,FALSE)="Mutation",VLOOKUP($E5,TeamT[],15,FALSE),IF(VLOOKUP($AO5,AbilityT[],2,FALSE)="General_R",0.5*VLOOKUP($E5,TeamT[],11,FALSE),IF(VLOOKUP($AO5,AbilityT[],2,FALSE)="Agility_R",0.5*VLOOKUP($E5,TeamT[],12,FALSE),IF(VLOOKUP($AO5,AbilityT[],2,FALSE)="Strength_R",0.5*VLOOKUP($E5,TeamT[],13,FALSE),IF(VLOOKUP($AO5,AbilityT[],2,FALSE)="Passing_R",0.5*VLOOKUP($E5,TeamT[],14,FALSE),IF(VLOOKUP($AO5,AbilityT[],2,FALSE)="Mutation_R",0.5*VLOOKUP($E5,TeamT[],15,FALSE),"ERROR"))))))))))))))))+$AC5)</f>
        <v>0</v>
      </c>
      <c r="AC5" s="189"/>
      <c r="AD5" s="192"/>
      <c r="AE5" s="195"/>
      <c r="AF5" s="196"/>
      <c r="AG5" s="196"/>
      <c r="AH5" s="196"/>
      <c r="AI5" s="197"/>
      <c r="AJ5" s="118"/>
      <c r="AK5" s="118"/>
      <c r="AL5" s="118"/>
      <c r="AM5" s="118"/>
      <c r="AN5" s="118"/>
      <c r="AO5" s="118"/>
      <c r="AP5" s="198"/>
      <c r="BC5" s="1" t="e">
        <f>VLOOKUP($E5,TeamT[],5,FALSE)</f>
        <v>#N/A</v>
      </c>
      <c r="BD5" s="1" t="e">
        <f>VLOOKUP($E5,TeamT[],6,FALSE)</f>
        <v>#N/A</v>
      </c>
      <c r="BE5" s="1" t="e">
        <f>VLOOKUP($E5,TeamT[],19,FALSE)</f>
        <v>#N/A</v>
      </c>
      <c r="BF5" s="1" t="e">
        <f>VLOOKUP($E5,TeamT[],20,FALSE)</f>
        <v>#N/A</v>
      </c>
      <c r="BG5" s="1" t="e">
        <f>VLOOKUP($E5,TeamT[],21,FALSE)</f>
        <v>#N/A</v>
      </c>
      <c r="AMP5" s="30"/>
      <c r="AMQ5" s="30"/>
    </row>
    <row r="6" spans="2:59 1030:1031" ht="34.9" customHeight="1" thickBot="1" x14ac:dyDescent="0.2">
      <c r="B6" s="180">
        <v>2</v>
      </c>
      <c r="C6" s="110"/>
      <c r="D6" s="70">
        <f t="shared" ref="D6:D20" si="1">COUNTIF($E$5:$E$20,E6)</f>
        <v>0</v>
      </c>
      <c r="E6" s="264"/>
      <c r="F6" s="264"/>
      <c r="G6" s="264"/>
      <c r="H6" s="72" t="str">
        <f>IF($E6&lt;&gt;"",VLOOKUP(E6,TeamT[],4,FALSE),"")</f>
        <v/>
      </c>
      <c r="I6" s="229" t="str">
        <f>IF($E6="","",IF(VLOOKUP($E6,TeamT[],5,FALSE)+COUNTIF($AJ6:$AO6,"=+MA")+$AE6&gt;9,9,IF(VLOOKUP($E6,TeamT[],5,FALSE)+COUNTIF($AJ6:$AO6,"=+MA")+$AE6&lt;1,1,VLOOKUP($E6,TeamT[],5,FALSE)+COUNTIF($AJ6:$AO6,"=+MA")+$AE6)))</f>
        <v/>
      </c>
      <c r="J6" s="230" t="str">
        <f>IF($E6="","",IF(VLOOKUP($E6,TeamT[],6,FALSE)+COUNTIF($AJ6:$AO6,"=+ST")+$AF6&gt;8,8,IF(VLOOKUP($E6,TeamT[],6,FALSE)+COUNTIF($AJ6:$AO6,"=+ST")+$AF6&lt;1,1,VLOOKUP($E6,TeamT[],6,FALSE)+COUNTIF($AJ6:$AO6,"=+ST")+$AF6)))</f>
        <v/>
      </c>
      <c r="K6" s="231" t="str">
        <f>IF($E6="","",IF(VLOOKUP($E6,TeamT[],19,FALSE)-COUNTIF($AJ6:$AO6,"=+AG")-$AG6&gt;6,6,IF(VLOOKUP($E6,TeamT[],19,FALSE)-COUNTIF($AJ6:$AO6,"=+AG")-$AG6&lt;1,1,VLOOKUP($E6,TeamT[],19,FALSE)-COUNTIF($AJ6:$AO6,"=+AG")-$AG6)))</f>
        <v/>
      </c>
      <c r="L6" s="231" t="str">
        <f>IF($E6="","",IF(VLOOKUP($E6,TeamT[],20,FALSE)="-","-",IF(VLOOKUP($E6,TeamT[],20,FALSE)-COUNTIF($AJ6:$AO6,"=+PA")-$AH6&gt;6,6,IF(VLOOKUP($E6,TeamT[],20,FALSE)-COUNTIF($AJ6:$AO6,"=+PA")-$AH6&lt;1,1,VLOOKUP($E6,TeamT[],20,FALSE)-COUNTIF($AJ6:$AO6,"=+PA")-$AH6))))</f>
        <v/>
      </c>
      <c r="M6" s="231" t="str">
        <f>IF($E6="","",IF(VLOOKUP($E6,TeamT[],21,FALSE)+COUNTIF($AJ6:$AO6,"=+AV")+$AI6&gt;11,11,IF(VLOOKUP($E6,TeamT[],21,FALSE)+COUNTIF($AJ6:$AO6,"=+AV")+$AI6&lt;3,3,VLOOKUP($E6,TeamT[],21,FALSE)+COUNTIF($AJ6:$AO6,"=+AV")+$AI6)))</f>
        <v/>
      </c>
      <c r="N6" s="225" t="str">
        <f>IF($E6="","",IF(COUNTIF($E$5:$E$20,$E6)&gt;VLOOKUP($E6,TeamT[],4,FALSE),"ERROR! Too many Player wit same role",(IF(Reces!$BR5&lt;&gt;0,"ERROR! Too many Big Guys!",(IF(Reces!$BT5&lt;&gt;0,"ERROR! Too many Star Players!",VLOOKUP($E6,TeamT[],10,FALSE)))))))</f>
        <v/>
      </c>
      <c r="O6" s="106" t="str">
        <f t="shared" ref="O6:O20" si="2">CONCATENATE($AJ6,IF($AK6&lt;&gt;"",", ",""),$AK6,IF($AL6&lt;&gt;"",", ",""),$AL6,IF($AM6&lt;&gt;"",", ",""),AM6,IF($AN6&lt;&gt;"",", ",""),AN6,IF($AO6&lt;&gt;"",", ",""),AO6)</f>
        <v/>
      </c>
      <c r="P6" s="254"/>
      <c r="Q6" s="254"/>
      <c r="R6" s="183"/>
      <c r="S6" s="183"/>
      <c r="T6" s="183"/>
      <c r="U6" s="183"/>
      <c r="V6" s="183"/>
      <c r="W6" s="183"/>
      <c r="X6" s="184"/>
      <c r="Y6" s="117">
        <f t="shared" si="0"/>
        <v>0</v>
      </c>
      <c r="Z6" s="172">
        <f>IF(LEFT($E6,1)="*","Star",$Y6+IF($AJ6=0,0,IF(OR($AJ6="+MA",$AJ6="+ST",$AJ6="+AG",$AJ6="+PA",$AJ6="+AV"),-18,IF(VLOOKUP($AJ6,AbilityT[],2,FALSE)="General",-6*VLOOKUP($E6,TeamT[],11,FALSE),IF(VLOOKUP($AJ6,AbilityT[],2,FALSE)="Agility",-6*VLOOKUP($E6,TeamT[],12,FALSE),IF(VLOOKUP($AJ6,AbilityT[],2,FALSE)="Strength",-6*VLOOKUP($E6,TeamT[],13,FALSE),IF(VLOOKUP($AJ6,AbilityT[],2,FALSE)="Passing",-6*VLOOKUP($E6,TeamT[],14,FALSE),IF(VLOOKUP($AJ6,AbilityT[],2,FALSE)="Mutation",-6*VLOOKUP($E6,TeamT[],15,FALSE),IF(VLOOKUP($AJ6,AbilityT[],2,FALSE)="General_R",-3*VLOOKUP($E6,TeamT[],11,FALSE),IF(VLOOKUP($AJ6,AbilityT[],2,FALSE)="Agility_R",-3*VLOOKUP($E6,TeamT[],12,FALSE),IF(VLOOKUP($AJ6,AbilityT[],2,FALSE)="Strength_R",-3*VLOOKUP($E6,TeamT[],13,FALSE),IF(VLOOKUP($AJ6,AbilityT[],2,FALSE)="Passing_R",-3*VLOOKUP($E6,TeamT[],14,FALSE),IF(VLOOKUP($AJ6,AbilityT[],2,FALSE)="Mutation_R",-3*VLOOKUP($E6,TeamT[],15,FALSE),"ERROR")))))))))))+IF($AK6=0,0,IF(OR($AK6="+MA",$AK6="+ST",$AK6="+AG",$AK6="+PA",$AK6="+AV"),-20,IF(VLOOKUP($AK6,AbilityT[],2,FALSE)="General",IF(VLOOKUP($E6,TeamT[],11,FALSE)=1,-8*VLOOKUP($E6,TeamT[],11,FALSE),-7*VLOOKUP($E6,TeamT[],11,FALSE)),IF(VLOOKUP($AK6,AbilityT[],2,FALSE)="Agility",IF(VLOOKUP($E6,TeamT[],12,FALSE)=1,-8*VLOOKUP($E6,TeamT[],12,FALSE),-7*VLOOKUP($E6,TeamT[],12,FALSE)),IF(VLOOKUP($AK6,AbilityT[],2,FALSE)="Strength",IF(VLOOKUP($E6,TeamT[],13,FALSE)=1,-8*VLOOKUP($E6,TeamT[],13,FALSE),-7*VLOOKUP($E6,TeamT[],13,FALSE)),IF(VLOOKUP($AK6,AbilityT[],2,FALSE)="Passing",IF(VLOOKUP($E6,TeamT[],14,FALSE)=1,-8*VLOOKUP($E6,TeamT[],14,FALSE),-7*VLOOKUP($E6,TeamT[],14,FALSE)),IF(VLOOKUP($AK6,AbilityT[],2,FALSE)="Mutation",IF(VLOOKUP($E6,TeamT[],15,FALSE)=1,-8*VLOOKUP($E6,TeamT[],15,FALSE),-7*VLOOKUP($E6,TeamT[],15,FALSE)),IF(VLOOKUP($AK6,AbilityT[],2,FALSE)="General_R",-4*VLOOKUP($E6,TeamT[],11,FALSE),IF(VLOOKUP($AK6,AbilityT[],2,FALSE)="Agility_R",-4*VLOOKUP($E6,TeamT[],12,FALSE),IF(VLOOKUP($AK6,AbilityT[],2,FALSE)="Strength_R",-4*VLOOKUP($E6,TeamT[],13,FALSE),IF(VLOOKUP($AK6,AbilityT[],2,FALSE)="Passing_R",-4*VLOOKUP($E6,TeamT[],14,FALSE),IF(VLOOKUP($AK6,AbilityT[],2,FALSE)="Mutation_R",-4*VLOOKUP($E6,TeamT[],15,FALSE),"ERROR"))))))))))))+IF($AL6=0,0,IF(OR($AL6="+MA",$AL6="+ST",$AL6="+AG",$AL6="+PA",$AL6="+AV"),-24,IF(VLOOKUP($AL6,AbilityT[],2,FALSE)="General",IF(VLOOKUP($E6,TeamT[],11,FALSE)=1,-12*VLOOKUP($E6,TeamT[],11,FALSE),-9*VLOOKUP($E6,TeamT[],11,FALSE)),IF(VLOOKUP($AL6,AbilityT[],2,FALSE)="Agility",IF(VLOOKUP($E6,TeamT[],12,FALSE)=1,-12*VLOOKUP($E6,TeamT[],12,FALSE),-9*VLOOKUP($E6,TeamT[],12,FALSE)),IF(VLOOKUP($AL6,AbilityT[],2,FALSE)="Strength",IF(VLOOKUP($E6,TeamT[],13,FALSE)=1,-12*VLOOKUP($E6,TeamT[],13,FALSE),-9*VLOOKUP($E6,TeamT[],13,FALSE)),IF(VLOOKUP($AL6,AbilityT[],2,FALSE)="Passing",IF(VLOOKUP($E6,TeamT[],14,FALSE)=1,-12*VLOOKUP($E6,TeamT[],14,FALSE),-9*VLOOKUP($E6,TeamT[],14,FALSE)),IF(VLOOKUP($AL6,AbilityT[],2,FALSE)="Mutation",IF(VLOOKUP($E6,TeamT[],15,FALSE)=1,-12*VLOOKUP($E6,TeamT[],15,FALSE),-9*VLOOKUP($E6,TeamT[],15,FALSE)),IF(VLOOKUP($AL6,AbilityT[],2,FALSE)="General_R",-6*VLOOKUP($E6,TeamT[],11,FALSE),IF(VLOOKUP($AL6,AbilityT[],2,FALSE)="Agility_R",-6*VLOOKUP($E6,TeamT[],12,FALSE),IF(VLOOKUP($AL6,AbilityT[],2,FALSE)="Strength_R",-6*VLOOKUP($E6,TeamT[],13,FALSE),IF(VLOOKUP($AL6,AbilityT[],2,FALSE)="Passing_R",-6*VLOOKUP($E6,TeamT[],14,FALSE),IF(VLOOKUP($AL6,AbilityT[],2,FALSE)="Mutation_R",-6*VLOOKUP($E6,TeamT[],15,FALSE),"ERROR"))))))))))))+IF($AM6=0,0,IF(OR($AM6="+MA",$AM6="+ST",$AM6="+AG",$AM6="+PA",$AM6="+AV"),-28,IF(VLOOKUP($AM6,AbilityT[],2,FALSE)="General",IF(VLOOKUP($E6,TeamT[],11,FALSE)=1,-16*VLOOKUP($E6,TeamT[],11,FALSE),-11*VLOOKUP($E6,TeamT[],11,FALSE)),IF(VLOOKUP($AM6,AbilityT[],2,FALSE)="Agility",IF(VLOOKUP($E6,TeamT[],12,FALSE)=1,-16*VLOOKUP($E6,TeamT[],12,FALSE),-11*VLOOKUP($E6,TeamT[],12,FALSE)),IF(VLOOKUP($AM6,AbilityT[],2,FALSE)="Strength",IF(VLOOKUP($E6,TeamT[],13,FALSE)=1,-16*VLOOKUP($E6,TeamT[],13,FALSE),-11*VLOOKUP($E6,TeamT[],13,FALSE)),IF(VLOOKUP($AM6,AbilityT[],2,FALSE)="Passing",IF(VLOOKUP($E6,TeamT[],14,FALSE)=1,-16*VLOOKUP($E6,TeamT[],14,FALSE),-11*VLOOKUP($E6,TeamT[],14,FALSE)),IF(VLOOKUP($AM6,AbilityT[],2,FALSE)="Mutation",IF(VLOOKUP($E6,TeamT[],15,FALSE)=1,-16*VLOOKUP($E6,TeamT[],15,FALSE),-11*VLOOKUP($E6,TeamT[],15,FALSE)),IF(VLOOKUP($AM6,AbilityT[],2,FALSE)="General_R",-8*VLOOKUP($E6,TeamT[],11,FALSE),IF(VLOOKUP($AM6,AbilityT[],2,FALSE)="Agility_R",-8*VLOOKUP($E6,TeamT[],12,FALSE),IF(VLOOKUP($AM6,AbilityT[],2,FALSE)="Strength_R",-8*VLOOKUP($E6,TeamT[],13,FALSE),IF(VLOOKUP($AM6,AbilityT[],2,FALSE)="Passing_R",-8*VLOOKUP($E6,TeamT[],14,FALSE),IF(VLOOKUP($AM6,AbilityT[],2,FALSE)="Mutation_R",-8*VLOOKUP($E6,TeamT[],15,FALSE),"ERROR"))))))))))))+IF($AN6=0,0,IF(OR($AN6="+MA",$AN6="+ST",$AN6="+AG",$AN6="+PA",$AN6="+AV"),-32,IF(VLOOKUP($AN6,AbilityT[],2,FALSE)="General",IF(VLOOKUP($E6,TeamT[],11,FALSE)=1,-20*VLOOKUP($E6,TeamT[],11,FALSE),-13*VLOOKUP($E6,TeamT[],11,FALSE)),IF(VLOOKUP($AN6,AbilityT[],2,FALSE)="Agility",IF(VLOOKUP($E6,TeamT[],12,FALSE)=1,-20*VLOOKUP($E6,TeamT[],12,FALSE),-13*VLOOKUP($E6,TeamT[],12,FALSE)),IF(VLOOKUP($AN6,AbilityT[],2,FALSE)="Strength",IF(VLOOKUP($E6,TeamT[],13,FALSE)=1,-20*VLOOKUP($E6,TeamT[],13,FALSE),-13*VLOOKUP($E6,TeamT[],13,FALSE)),IF(VLOOKUP($AN6,AbilityT[],2,FALSE)="Passing",IF(VLOOKUP($E6,TeamT[],14,FALSE)=1,-20*VLOOKUP($E6,TeamT[],14,FALSE),-13*VLOOKUP($E6,TeamT[],14,FALSE)),IF(VLOOKUP($AN6,AbilityT[],2,FALSE)="Mutation",IF(VLOOKUP($E6,TeamT[],15,FALSE)=1,-20*VLOOKUP($E6,TeamT[],15,FALSE),-13*VLOOKUP($E6,TeamT[],15,FALSE)),IF(VLOOKUP($AN6,AbilityT[],2,FALSE)="General_R",-10*VLOOKUP($E6,TeamT[],11,FALSE),IF(VLOOKUP($AN6,AbilityT[],2,FALSE)="Agility_R",-10*VLOOKUP($E6,TeamT[],12,FALSE),IF(VLOOKUP($AN6,AbilityT[],2,FALSE)="Strength_R",-10*VLOOKUP($E6,TeamT[],13,FALSE),IF(VLOOKUP($AN6,AbilityT[],2,FALSE)="Passing_R",-10*VLOOKUP($E6,TeamT[],14,FALSE),IF(VLOOKUP($AN6,AbilityT[],2,FALSE)="Mutation_R",-10*VLOOKUP($E6,TeamT[],15,FALSE),"ERROR"))))))))))))+IF($AO6=0,0,IF(OR($AO6="+MA",$AO6="+ST",$AO6="+AG",$AO6="+PA",$AO6="+AV"),-50,IF(VLOOKUP($AO6,AbilityT[],2,FALSE)="General",IF(VLOOKUP($E6,TeamT[],11,FALSE)=1,-30*VLOOKUP($E6,TeamT[],11,FALSE),-20*VLOOKUP($E6,TeamT[],11,FALSE)),IF(VLOOKUP($AO6,AbilityT[],2,FALSE)="Agility",IF(VLOOKUP($E6,TeamT[],12,FALSE)=1,-30*VLOOKUP($E6,TeamT[],12,FALSE),-20*VLOOKUP($E6,TeamT[],12,FALSE)),IF(VLOOKUP($AO6,AbilityT[],2,FALSE)="Strength",IF(VLOOKUP($E6,TeamT[],13,FALSE)=1,-30*VLOOKUP($E6,TeamT[],13,FALSE),-20*VLOOKUP($E6,TeamT[],13,FALSE)),IF(VLOOKUP($AO6,AbilityT[],2,FALSE)="Passing",IF(VLOOKUP($E6,TeamT[],14,FALSE)=1,-30*VLOOKUP($E6,TeamT[],14,FALSE),-20*VLOOKUP($E6,TeamT[],14,FALSE)),IF(VLOOKUP($AO6,AbilityT[],2,FALSE)="Mutation",IF(VLOOKUP($E6,TeamT[],15,FALSE)=1,-30*VLOOKUP($E6,TeamT[],15,FALSE),-20*VLOOKUP($E6,TeamT[],15,FALSE)),IF(VLOOKUP($AO6,AbilityT[],2,FALSE)="General_R",-15*VLOOKUP($E6,TeamT[],11,FALSE),IF(VLOOKUP($AO6,AbilityT[],2,FALSE)="Agility_R",-15*VLOOKUP($E6,TeamT[],12,FALSE),IF(VLOOKUP($AO6,AbilityT[],2,FALSE)="Strength_R",-15*VLOOKUP($E6,TeamT[],13,FALSE),IF(VLOOKUP($AO6,AbilityT[],2,FALSE)="Passing_R",-15*VLOOKUP($E6,TeamT[],14,FALSE),IF(VLOOKUP($AO6,AbilityT[],2,FALSE)="Mutation_R",-15*VLOOKUP($E6,TeamT[],15,FALSE),"ERROR")))))))))))))+IF($AA6&lt;=5,-6*$AA6,-6*$AA6-4))</f>
        <v>0</v>
      </c>
      <c r="AA6" s="188"/>
      <c r="AB6" s="115">
        <f>IF($E6="",0,VLOOKUP($E6,TeamT[],3,FALSE)+IF($O$28="Tournament Setup",0,IF($AJ6="",0,IF($AJ6="+AV",10000,IF(OR($AJ6="+MA",$AJ6="+PA"),20000,IF($AJ6="+AG",40000,IF($AJ6="+ST",80000,20000*IF(VLOOKUP($AJ6,AbilityT[],2,FALSE)="General",VLOOKUP($E6,TeamT[],11,FALSE),IF(VLOOKUP($AJ6,AbilityT[],2,FALSE)="Agility",VLOOKUP($E6,TeamT[],12,FALSE),IF(VLOOKUP($AJ6,AbilityT[],2,FALSE)="Strength",VLOOKUP($E6,TeamT[],13,FALSE),IF(VLOOKUP($AJ6,AbilityT[],2,FALSE)="Passing",VLOOKUP($E6,TeamT[],14,FALSE),IF(VLOOKUP($AJ6,AbilityT[],2,FALSE)="Mutation",VLOOKUP($E6,TeamT[],15,FALSE),IF(VLOOKUP($AJ6,AbilityT[],2,FALSE)="General_R",0.5*VLOOKUP($E6,TeamT[],11,FALSE),IF(VLOOKUP($AJ6,AbilityT[],2,FALSE)="Agility_R",0.5*VLOOKUP($E6,TeamT[],12,FALSE),IF(VLOOKUP($AJ6,AbilityT[],2,FALSE)="Strength_R",0.5*VLOOKUP($E6,TeamT[],13,FALSE),IF(VLOOKUP($AJ6,AbilityT[],2,FALSE)="Passing_R",0.5*VLOOKUP($E6,TeamT[],14,FALSE),IF(VLOOKUP($AJ6,AbilityT[],2,FALSE)="Mutation_R",0.5*VLOOKUP($E6,TeamT[],15,FALSE),"ERROR")))))))))))))))+IF($AK6="",0,IF($AK6="+AV",10000,IF(OR($AK6="+MA",$AK6="+PA"),20000,IF($AK6="+AG",40000,IF($AK6="+ST",80000,20000*IF(VLOOKUP($AK6,AbilityT[],2,FALSE)="General",VLOOKUP($E6,TeamT[],11,FALSE),IF(VLOOKUP($AK6,AbilityT[],2,FALSE)="Agility",VLOOKUP($E6,TeamT[],12,FALSE),IF(VLOOKUP($AK6,AbilityT[],2,FALSE)="Strength",VLOOKUP($E6,TeamT[],13,FALSE),IF(VLOOKUP($AK6,AbilityT[],2,FALSE)="Passing",VLOOKUP($E6,TeamT[],14,FALSE),IF(VLOOKUP($AK6,AbilityT[],2,FALSE)="Mutation",VLOOKUP($E6,TeamT[],15,FALSE),IF(VLOOKUP($AK6,AbilityT[],2,FALSE)="General_R",0.5*VLOOKUP($E6,TeamT[],11,FALSE),IF(VLOOKUP($AK6,AbilityT[],2,FALSE)="Agility_R",0.5*VLOOKUP($E6,TeamT[],12,FALSE),IF(VLOOKUP($AK6,AbilityT[],2,FALSE)="Strength_R",0.5*VLOOKUP($E6,TeamT[],13,FALSE),IF(VLOOKUP($AK6,AbilityT[],2,FALSE)="Passing_R",0.5*VLOOKUP($E6,TeamT[],14,FALSE),IF(VLOOKUP($AK6,AbilityT[],2,FALSE)="Mutation_R",0.5*VLOOKUP($E6,TeamT[],15,FALSE),"ERROR")))))))))))))))+IF($AL6="",0,IF($AL6="+AV",10000,IF(OR($AL6="+MA",$AL6="+PA"),20000,IF($AL6="+AG",40000,IF($AL6="+ST",80000,20000*IF(VLOOKUP($AL6,AbilityT[],2,FALSE)="General",VLOOKUP($E6,TeamT[],11,FALSE),IF(VLOOKUP($AL6,AbilityT[],2,FALSE)="Agility",VLOOKUP($E6,TeamT[],12,FALSE),IF(VLOOKUP($AL6,AbilityT[],2,FALSE)="Strength",VLOOKUP($E6,TeamT[],13,FALSE),IF(VLOOKUP($AL6,AbilityT[],2,FALSE)="Passing",VLOOKUP($E6,TeamT[],14,FALSE),IF(VLOOKUP($AL6,AbilityT[],2,FALSE)="Mutation",VLOOKUP($E6,TeamT[],15,FALSE),IF(VLOOKUP($AL6,AbilityT[],2,FALSE)="General_R",0.5*VLOOKUP($E6,TeamT[],11,FALSE),IF(VLOOKUP($AL6,AbilityT[],2,FALSE)="Agility_R",0.5*VLOOKUP($E6,TeamT[],12,FALSE),IF(VLOOKUP($AL6,AbilityT[],2,FALSE)="Strength_R",0.5*VLOOKUP($E6,TeamT[],13,FALSE),IF(VLOOKUP($AL6,AbilityT[],2,FALSE)="Passing_R",0.5*VLOOKUP($E6,TeamT[],14,FALSE),IF(VLOOKUP($AL6,AbilityT[],2,FALSE)="Mutation_R",0.5*VLOOKUP($E6,TeamT[],15,FALSE),"ERROR")))))))))))))))+IF($AM6="",0,IF($AM6="+AV",10000,IF(OR($AM6="+MA",$AM6="+PA"),20000,IF($AM6="+AG",40000,IF($AM6="+ST",80000,20000*IF(VLOOKUP($AM6,AbilityT[],2,FALSE)="General",VLOOKUP($E6,TeamT[],11,FALSE),IF(VLOOKUP($AM6,AbilityT[],2,FALSE)="Agility",VLOOKUP($E6,TeamT[],12,FALSE),IF(VLOOKUP($AM6,AbilityT[],2,FALSE)="Strength",VLOOKUP($E6,TeamT[],13,FALSE),IF(VLOOKUP($AM6,AbilityT[],2,FALSE)="Passing",VLOOKUP($E6,TeamT[],14,FALSE),IF(VLOOKUP($AM6,AbilityT[],2,FALSE)="Mutation",VLOOKUP($E6,TeamT[],15,FALSE),IF(VLOOKUP($AM6,AbilityT[],2,FALSE)="General_R",0.5*VLOOKUP($E6,TeamT[],11,FALSE),IF(VLOOKUP($AM6,AbilityT[],2,FALSE)="Agility_R",0.5*VLOOKUP($E6,TeamT[],12,FALSE),IF(VLOOKUP($AM6,AbilityT[],2,FALSE)="Strength_R",0.5*VLOOKUP($E6,TeamT[],13,FALSE),IF(VLOOKUP($AM6,AbilityT[],2,FALSE)="Passing_R",0.5*VLOOKUP($E6,TeamT[],14,FALSE),IF(VLOOKUP($AM6,AbilityT[],2,FALSE)="Mutation_R",0.5*VLOOKUP($E6,TeamT[],15,FALSE),"ERROR")))))))))))))))+IF($AN6="",0,IF($AN6="+AV",10000,IF(OR($AN6="+MA",$AN6="+PA"),20000,IF($AN6="+AG",40000,IF($AN6="+ST",80000,20000*IF(VLOOKUP($AN6,AbilityT[],2,FALSE)="General",VLOOKUP($E6,TeamT[],11,FALSE),IF(VLOOKUP($AN6,AbilityT[],2,FALSE)="Agility",VLOOKUP($E6,TeamT[],12,FALSE),IF(VLOOKUP($AN6,AbilityT[],2,FALSE)="Strength",VLOOKUP($E6,TeamT[],13,FALSE),IF(VLOOKUP($AN6,AbilityT[],2,FALSE)="Passing",VLOOKUP($E6,TeamT[],14,FALSE),IF(VLOOKUP($AN6,AbilityT[],2,FALSE)="Mutation",VLOOKUP($E6,TeamT[],15,FALSE),IF(VLOOKUP($AN6,AbilityT[],2,FALSE)="General_R",0.5*VLOOKUP($E6,TeamT[],11,FALSE),IF(VLOOKUP($AN6,AbilityT[],2,FALSE)="Agility_R",0.5*VLOOKUP($E6,TeamT[],12,FALSE),IF(VLOOKUP($AN6,AbilityT[],2,FALSE)="Strength_R",0.5*VLOOKUP($E6,TeamT[],13,FALSE),IF(VLOOKUP($AN6,AbilityT[],2,FALSE)="Passing_R",0.5*VLOOKUP($E6,TeamT[],14,FALSE),IF(VLOOKUP($AN6,AbilityT[],2,FALSE)="Mutation_R",0.5*VLOOKUP($E6,TeamT[],15,FALSE),"ERROR")))))))))))))))+IF($AO6="",0,IF($AO6="+AV",10000,IF(OR($AO6="+MA",$AO6="+PA"),20000,IF($AO6="+AG",40000,IF($AO6="+ST",80000,20000*IF(VLOOKUP($AO6,AbilityT[],2,FALSE)="General",VLOOKUP($E6,TeamT[],11,FALSE),IF(VLOOKUP($AO6,AbilityT[],2,FALSE)="Agility",VLOOKUP($E6,TeamT[],12,FALSE),IF(VLOOKUP($AO6,AbilityT[],2,FALSE)="Strength",VLOOKUP($E6,TeamT[],13,FALSE),IF(VLOOKUP($AO6,AbilityT[],2,FALSE)="Passing",VLOOKUP($E6,TeamT[],14,FALSE),IF(VLOOKUP($AO6,AbilityT[],2,FALSE)="Mutation",VLOOKUP($E6,TeamT[],15,FALSE),IF(VLOOKUP($AO6,AbilityT[],2,FALSE)="General_R",0.5*VLOOKUP($E6,TeamT[],11,FALSE),IF(VLOOKUP($AO6,AbilityT[],2,FALSE)="Agility_R",0.5*VLOOKUP($E6,TeamT[],12,FALSE),IF(VLOOKUP($AO6,AbilityT[],2,FALSE)="Strength_R",0.5*VLOOKUP($E6,TeamT[],13,FALSE),IF(VLOOKUP($AO6,AbilityT[],2,FALSE)="Passing_R",0.5*VLOOKUP($E6,TeamT[],14,FALSE),IF(VLOOKUP($AO6,AbilityT[],2,FALSE)="Mutation_R",0.5*VLOOKUP($E6,TeamT[],15,FALSE),"ERROR"))))))))))))))))+$AC6)</f>
        <v>0</v>
      </c>
      <c r="AC6" s="190"/>
      <c r="AD6" s="193"/>
      <c r="AE6" s="119"/>
      <c r="AF6" s="120"/>
      <c r="AG6" s="120"/>
      <c r="AH6" s="120"/>
      <c r="AI6" s="121"/>
      <c r="AJ6" s="118"/>
      <c r="AK6" s="118"/>
      <c r="AL6" s="118"/>
      <c r="AM6" s="118"/>
      <c r="AN6" s="118"/>
      <c r="AO6" s="118"/>
      <c r="AP6" s="199"/>
      <c r="BC6" s="1" t="e">
        <f>VLOOKUP($E6,TeamT[],5,FALSE)</f>
        <v>#N/A</v>
      </c>
      <c r="BD6" s="1" t="e">
        <f>VLOOKUP($E6,TeamT[],6,FALSE)</f>
        <v>#N/A</v>
      </c>
      <c r="BE6" s="1" t="e">
        <f>VLOOKUP($E6,TeamT[],19,FALSE)</f>
        <v>#N/A</v>
      </c>
      <c r="BF6" s="1" t="e">
        <f>VLOOKUP($E6,TeamT[],20,FALSE)</f>
        <v>#N/A</v>
      </c>
      <c r="BG6" s="1" t="e">
        <f>VLOOKUP($E6,TeamT[],21,FALSE)</f>
        <v>#N/A</v>
      </c>
    </row>
    <row r="7" spans="2:59 1030:1031" ht="34.9" customHeight="1" thickBot="1" x14ac:dyDescent="0.2">
      <c r="B7" s="180">
        <v>3</v>
      </c>
      <c r="C7" s="110"/>
      <c r="D7" s="70">
        <f t="shared" si="1"/>
        <v>0</v>
      </c>
      <c r="E7" s="264"/>
      <c r="F7" s="264"/>
      <c r="G7" s="264"/>
      <c r="H7" s="72" t="str">
        <f>IF($E7&lt;&gt;"",VLOOKUP(E7,TeamT[],4,FALSE),"")</f>
        <v/>
      </c>
      <c r="I7" s="229" t="str">
        <f>IF($E7="","",IF(VLOOKUP($E7,TeamT[],5,FALSE)+COUNTIF($AJ7:$AO7,"=+MA")+$AE7&gt;9,9,IF(VLOOKUP($E7,TeamT[],5,FALSE)+COUNTIF($AJ7:$AO7,"=+MA")+$AE7&lt;1,1,VLOOKUP($E7,TeamT[],5,FALSE)+COUNTIF($AJ7:$AO7,"=+MA")+$AE7)))</f>
        <v/>
      </c>
      <c r="J7" s="230" t="str">
        <f>IF($E7="","",IF(VLOOKUP($E7,TeamT[],6,FALSE)+COUNTIF($AJ7:$AO7,"=+ST")+$AF7&gt;8,8,IF(VLOOKUP($E7,TeamT[],6,FALSE)+COUNTIF($AJ7:$AO7,"=+ST")+$AF7&lt;1,1,VLOOKUP($E7,TeamT[],6,FALSE)+COUNTIF($AJ7:$AO7,"=+ST")+$AF7)))</f>
        <v/>
      </c>
      <c r="K7" s="231" t="str">
        <f>IF($E7="","",IF(VLOOKUP($E7,TeamT[],19,FALSE)-COUNTIF($AJ7:$AO7,"=+AG")-$AG7&gt;6,6,IF(VLOOKUP($E7,TeamT[],19,FALSE)-COUNTIF($AJ7:$AO7,"=+AG")-$AG7&lt;1,1,VLOOKUP($E7,TeamT[],19,FALSE)-COUNTIF($AJ7:$AO7,"=+AG")-$AG7)))</f>
        <v/>
      </c>
      <c r="L7" s="231" t="str">
        <f>IF($E7="","",IF(VLOOKUP($E7,TeamT[],20,FALSE)="-","-",IF(VLOOKUP($E7,TeamT[],20,FALSE)-COUNTIF($AJ7:$AO7,"=+PA")-$AH7&gt;6,6,IF(VLOOKUP($E7,TeamT[],20,FALSE)-COUNTIF($AJ7:$AO7,"=+PA")-$AH7&lt;1,1,VLOOKUP($E7,TeamT[],20,FALSE)-COUNTIF($AJ7:$AO7,"=+PA")-$AH7))))</f>
        <v/>
      </c>
      <c r="M7" s="231" t="str">
        <f>IF($E7="","",IF(VLOOKUP($E7,TeamT[],21,FALSE)+COUNTIF($AJ7:$AO7,"=+AV")+$AI7&gt;11,11,IF(VLOOKUP($E7,TeamT[],21,FALSE)+COUNTIF($AJ7:$AO7,"=+AV")+$AI7&lt;3,3,VLOOKUP($E7,TeamT[],21,FALSE)+COUNTIF($AJ7:$AO7,"=+AV")+$AI7)))</f>
        <v/>
      </c>
      <c r="N7" s="225" t="str">
        <f>IF($E7="","",IF(COUNTIF($E$5:$E$20,$E7)&gt;VLOOKUP($E7,TeamT[],4,FALSE),"ERROR! Too many Player wit same role",(IF(Reces!$BR6&lt;&gt;0,"ERROR! Too many Big Guys!",(IF(Reces!$BT6&lt;&gt;0,"ERROR! Too many Star Players!",VLOOKUP($E7,TeamT[],10,FALSE)))))))</f>
        <v/>
      </c>
      <c r="O7" s="106" t="str">
        <f t="shared" si="2"/>
        <v/>
      </c>
      <c r="P7" s="254"/>
      <c r="Q7" s="254"/>
      <c r="R7" s="183"/>
      <c r="S7" s="183"/>
      <c r="T7" s="183"/>
      <c r="U7" s="183"/>
      <c r="V7" s="183"/>
      <c r="W7" s="183"/>
      <c r="X7" s="184"/>
      <c r="Y7" s="117">
        <f t="shared" si="0"/>
        <v>0</v>
      </c>
      <c r="Z7" s="172">
        <f>IF(LEFT($E7,1)="*","Star",$Y7+IF($AJ7=0,0,IF(OR($AJ7="+MA",$AJ7="+ST",$AJ7="+AG",$AJ7="+PA",$AJ7="+AV"),-18,IF(VLOOKUP($AJ7,AbilityT[],2,FALSE)="General",-6*VLOOKUP($E7,TeamT[],11,FALSE),IF(VLOOKUP($AJ7,AbilityT[],2,FALSE)="Agility",-6*VLOOKUP($E7,TeamT[],12,FALSE),IF(VLOOKUP($AJ7,AbilityT[],2,FALSE)="Strength",-6*VLOOKUP($E7,TeamT[],13,FALSE),IF(VLOOKUP($AJ7,AbilityT[],2,FALSE)="Passing",-6*VLOOKUP($E7,TeamT[],14,FALSE),IF(VLOOKUP($AJ7,AbilityT[],2,FALSE)="Mutation",-6*VLOOKUP($E7,TeamT[],15,FALSE),IF(VLOOKUP($AJ7,AbilityT[],2,FALSE)="General_R",-3*VLOOKUP($E7,TeamT[],11,FALSE),IF(VLOOKUP($AJ7,AbilityT[],2,FALSE)="Agility_R",-3*VLOOKUP($E7,TeamT[],12,FALSE),IF(VLOOKUP($AJ7,AbilityT[],2,FALSE)="Strength_R",-3*VLOOKUP($E7,TeamT[],13,FALSE),IF(VLOOKUP($AJ7,AbilityT[],2,FALSE)="Passing_R",-3*VLOOKUP($E7,TeamT[],14,FALSE),IF(VLOOKUP($AJ7,AbilityT[],2,FALSE)="Mutation_R",-3*VLOOKUP($E7,TeamT[],15,FALSE),"ERROR")))))))))))+IF($AK7=0,0,IF(OR($AK7="+MA",$AK7="+ST",$AK7="+AG",$AK7="+PA",$AK7="+AV"),-20,IF(VLOOKUP($AK7,AbilityT[],2,FALSE)="General",IF(VLOOKUP($E7,TeamT[],11,FALSE)=1,-8*VLOOKUP($E7,TeamT[],11,FALSE),-7*VLOOKUP($E7,TeamT[],11,FALSE)),IF(VLOOKUP($AK7,AbilityT[],2,FALSE)="Agility",IF(VLOOKUP($E7,TeamT[],12,FALSE)=1,-8*VLOOKUP($E7,TeamT[],12,FALSE),-7*VLOOKUP($E7,TeamT[],12,FALSE)),IF(VLOOKUP($AK7,AbilityT[],2,FALSE)="Strength",IF(VLOOKUP($E7,TeamT[],13,FALSE)=1,-8*VLOOKUP($E7,TeamT[],13,FALSE),-7*VLOOKUP($E7,TeamT[],13,FALSE)),IF(VLOOKUP($AK7,AbilityT[],2,FALSE)="Passing",IF(VLOOKUP($E7,TeamT[],14,FALSE)=1,-8*VLOOKUP($E7,TeamT[],14,FALSE),-7*VLOOKUP($E7,TeamT[],14,FALSE)),IF(VLOOKUP($AK7,AbilityT[],2,FALSE)="Mutation",IF(VLOOKUP($E7,TeamT[],15,FALSE)=1,-8*VLOOKUP($E7,TeamT[],15,FALSE),-7*VLOOKUP($E7,TeamT[],15,FALSE)),IF(VLOOKUP($AK7,AbilityT[],2,FALSE)="General_R",-4*VLOOKUP($E7,TeamT[],11,FALSE),IF(VLOOKUP($AK7,AbilityT[],2,FALSE)="Agility_R",-4*VLOOKUP($E7,TeamT[],12,FALSE),IF(VLOOKUP($AK7,AbilityT[],2,FALSE)="Strength_R",-4*VLOOKUP($E7,TeamT[],13,FALSE),IF(VLOOKUP($AK7,AbilityT[],2,FALSE)="Passing_R",-4*VLOOKUP($E7,TeamT[],14,FALSE),IF(VLOOKUP($AK7,AbilityT[],2,FALSE)="Mutation_R",-4*VLOOKUP($E7,TeamT[],15,FALSE),"ERROR"))))))))))))+IF($AL7=0,0,IF(OR($AL7="+MA",$AL7="+ST",$AL7="+AG",$AL7="+PA",$AL7="+AV"),-24,IF(VLOOKUP($AL7,AbilityT[],2,FALSE)="General",IF(VLOOKUP($E7,TeamT[],11,FALSE)=1,-12*VLOOKUP($E7,TeamT[],11,FALSE),-9*VLOOKUP($E7,TeamT[],11,FALSE)),IF(VLOOKUP($AL7,AbilityT[],2,FALSE)="Agility",IF(VLOOKUP($E7,TeamT[],12,FALSE)=1,-12*VLOOKUP($E7,TeamT[],12,FALSE),-9*VLOOKUP($E7,TeamT[],12,FALSE)),IF(VLOOKUP($AL7,AbilityT[],2,FALSE)="Strength",IF(VLOOKUP($E7,TeamT[],13,FALSE)=1,-12*VLOOKUP($E7,TeamT[],13,FALSE),-9*VLOOKUP($E7,TeamT[],13,FALSE)),IF(VLOOKUP($AL7,AbilityT[],2,FALSE)="Passing",IF(VLOOKUP($E7,TeamT[],14,FALSE)=1,-12*VLOOKUP($E7,TeamT[],14,FALSE),-9*VLOOKUP($E7,TeamT[],14,FALSE)),IF(VLOOKUP($AL7,AbilityT[],2,FALSE)="Mutation",IF(VLOOKUP($E7,TeamT[],15,FALSE)=1,-12*VLOOKUP($E7,TeamT[],15,FALSE),-9*VLOOKUP($E7,TeamT[],15,FALSE)),IF(VLOOKUP($AL7,AbilityT[],2,FALSE)="General_R",-6*VLOOKUP($E7,TeamT[],11,FALSE),IF(VLOOKUP($AL7,AbilityT[],2,FALSE)="Agility_R",-6*VLOOKUP($E7,TeamT[],12,FALSE),IF(VLOOKUP($AL7,AbilityT[],2,FALSE)="Strength_R",-6*VLOOKUP($E7,TeamT[],13,FALSE),IF(VLOOKUP($AL7,AbilityT[],2,FALSE)="Passing_R",-6*VLOOKUP($E7,TeamT[],14,FALSE),IF(VLOOKUP($AL7,AbilityT[],2,FALSE)="Mutation_R",-6*VLOOKUP($E7,TeamT[],15,FALSE),"ERROR"))))))))))))+IF($AM7=0,0,IF(OR($AM7="+MA",$AM7="+ST",$AM7="+AG",$AM7="+PA",$AM7="+AV"),-28,IF(VLOOKUP($AM7,AbilityT[],2,FALSE)="General",IF(VLOOKUP($E7,TeamT[],11,FALSE)=1,-16*VLOOKUP($E7,TeamT[],11,FALSE),-11*VLOOKUP($E7,TeamT[],11,FALSE)),IF(VLOOKUP($AM7,AbilityT[],2,FALSE)="Agility",IF(VLOOKUP($E7,TeamT[],12,FALSE)=1,-16*VLOOKUP($E7,TeamT[],12,FALSE),-11*VLOOKUP($E7,TeamT[],12,FALSE)),IF(VLOOKUP($AM7,AbilityT[],2,FALSE)="Strength",IF(VLOOKUP($E7,TeamT[],13,FALSE)=1,-16*VLOOKUP($E7,TeamT[],13,FALSE),-11*VLOOKUP($E7,TeamT[],13,FALSE)),IF(VLOOKUP($AM7,AbilityT[],2,FALSE)="Passing",IF(VLOOKUP($E7,TeamT[],14,FALSE)=1,-16*VLOOKUP($E7,TeamT[],14,FALSE),-11*VLOOKUP($E7,TeamT[],14,FALSE)),IF(VLOOKUP($AM7,AbilityT[],2,FALSE)="Mutation",IF(VLOOKUP($E7,TeamT[],15,FALSE)=1,-16*VLOOKUP($E7,TeamT[],15,FALSE),-11*VLOOKUP($E7,TeamT[],15,FALSE)),IF(VLOOKUP($AM7,AbilityT[],2,FALSE)="General_R",-8*VLOOKUP($E7,TeamT[],11,FALSE),IF(VLOOKUP($AM7,AbilityT[],2,FALSE)="Agility_R",-8*VLOOKUP($E7,TeamT[],12,FALSE),IF(VLOOKUP($AM7,AbilityT[],2,FALSE)="Strength_R",-8*VLOOKUP($E7,TeamT[],13,FALSE),IF(VLOOKUP($AM7,AbilityT[],2,FALSE)="Passing_R",-8*VLOOKUP($E7,TeamT[],14,FALSE),IF(VLOOKUP($AM7,AbilityT[],2,FALSE)="Mutation_R",-8*VLOOKUP($E7,TeamT[],15,FALSE),"ERROR"))))))))))))+IF($AN7=0,0,IF(OR($AN7="+MA",$AN7="+ST",$AN7="+AG",$AN7="+PA",$AN7="+AV"),-32,IF(VLOOKUP($AN7,AbilityT[],2,FALSE)="General",IF(VLOOKUP($E7,TeamT[],11,FALSE)=1,-20*VLOOKUP($E7,TeamT[],11,FALSE),-13*VLOOKUP($E7,TeamT[],11,FALSE)),IF(VLOOKUP($AN7,AbilityT[],2,FALSE)="Agility",IF(VLOOKUP($E7,TeamT[],12,FALSE)=1,-20*VLOOKUP($E7,TeamT[],12,FALSE),-13*VLOOKUP($E7,TeamT[],12,FALSE)),IF(VLOOKUP($AN7,AbilityT[],2,FALSE)="Strength",IF(VLOOKUP($E7,TeamT[],13,FALSE)=1,-20*VLOOKUP($E7,TeamT[],13,FALSE),-13*VLOOKUP($E7,TeamT[],13,FALSE)),IF(VLOOKUP($AN7,AbilityT[],2,FALSE)="Passing",IF(VLOOKUP($E7,TeamT[],14,FALSE)=1,-20*VLOOKUP($E7,TeamT[],14,FALSE),-13*VLOOKUP($E7,TeamT[],14,FALSE)),IF(VLOOKUP($AN7,AbilityT[],2,FALSE)="Mutation",IF(VLOOKUP($E7,TeamT[],15,FALSE)=1,-20*VLOOKUP($E7,TeamT[],15,FALSE),-13*VLOOKUP($E7,TeamT[],15,FALSE)),IF(VLOOKUP($AN7,AbilityT[],2,FALSE)="General_R",-10*VLOOKUP($E7,TeamT[],11,FALSE),IF(VLOOKUP($AN7,AbilityT[],2,FALSE)="Agility_R",-10*VLOOKUP($E7,TeamT[],12,FALSE),IF(VLOOKUP($AN7,AbilityT[],2,FALSE)="Strength_R",-10*VLOOKUP($E7,TeamT[],13,FALSE),IF(VLOOKUP($AN7,AbilityT[],2,FALSE)="Passing_R",-10*VLOOKUP($E7,TeamT[],14,FALSE),IF(VLOOKUP($AN7,AbilityT[],2,FALSE)="Mutation_R",-10*VLOOKUP($E7,TeamT[],15,FALSE),"ERROR"))))))))))))+IF($AO7=0,0,IF(OR($AO7="+MA",$AO7="+ST",$AO7="+AG",$AO7="+PA",$AO7="+AV"),-50,IF(VLOOKUP($AO7,AbilityT[],2,FALSE)="General",IF(VLOOKUP($E7,TeamT[],11,FALSE)=1,-30*VLOOKUP($E7,TeamT[],11,FALSE),-20*VLOOKUP($E7,TeamT[],11,FALSE)),IF(VLOOKUP($AO7,AbilityT[],2,FALSE)="Agility",IF(VLOOKUP($E7,TeamT[],12,FALSE)=1,-30*VLOOKUP($E7,TeamT[],12,FALSE),-20*VLOOKUP($E7,TeamT[],12,FALSE)),IF(VLOOKUP($AO7,AbilityT[],2,FALSE)="Strength",IF(VLOOKUP($E7,TeamT[],13,FALSE)=1,-30*VLOOKUP($E7,TeamT[],13,FALSE),-20*VLOOKUP($E7,TeamT[],13,FALSE)),IF(VLOOKUP($AO7,AbilityT[],2,FALSE)="Passing",IF(VLOOKUP($E7,TeamT[],14,FALSE)=1,-30*VLOOKUP($E7,TeamT[],14,FALSE),-20*VLOOKUP($E7,TeamT[],14,FALSE)),IF(VLOOKUP($AO7,AbilityT[],2,FALSE)="Mutation",IF(VLOOKUP($E7,TeamT[],15,FALSE)=1,-30*VLOOKUP($E7,TeamT[],15,FALSE),-20*VLOOKUP($E7,TeamT[],15,FALSE)),IF(VLOOKUP($AO7,AbilityT[],2,FALSE)="General_R",-15*VLOOKUP($E7,TeamT[],11,FALSE),IF(VLOOKUP($AO7,AbilityT[],2,FALSE)="Agility_R",-15*VLOOKUP($E7,TeamT[],12,FALSE),IF(VLOOKUP($AO7,AbilityT[],2,FALSE)="Strength_R",-15*VLOOKUP($E7,TeamT[],13,FALSE),IF(VLOOKUP($AO7,AbilityT[],2,FALSE)="Passing_R",-15*VLOOKUP($E7,TeamT[],14,FALSE),IF(VLOOKUP($AO7,AbilityT[],2,FALSE)="Mutation_R",-15*VLOOKUP($E7,TeamT[],15,FALSE),"ERROR")))))))))))))+IF($AA7&lt;=5,-6*$AA7,-6*$AA7-4))</f>
        <v>0</v>
      </c>
      <c r="AA7" s="188"/>
      <c r="AB7" s="115">
        <f>IF($E7="",0,VLOOKUP($E7,TeamT[],3,FALSE)+IF($O$28="Tournament Setup",0,IF($AJ7="",0,IF($AJ7="+AV",10000,IF(OR($AJ7="+MA",$AJ7="+PA"),20000,IF($AJ7="+AG",40000,IF($AJ7="+ST",80000,20000*IF(VLOOKUP($AJ7,AbilityT[],2,FALSE)="General",VLOOKUP($E7,TeamT[],11,FALSE),IF(VLOOKUP($AJ7,AbilityT[],2,FALSE)="Agility",VLOOKUP($E7,TeamT[],12,FALSE),IF(VLOOKUP($AJ7,AbilityT[],2,FALSE)="Strength",VLOOKUP($E7,TeamT[],13,FALSE),IF(VLOOKUP($AJ7,AbilityT[],2,FALSE)="Passing",VLOOKUP($E7,TeamT[],14,FALSE),IF(VLOOKUP($AJ7,AbilityT[],2,FALSE)="Mutation",VLOOKUP($E7,TeamT[],15,FALSE),IF(VLOOKUP($AJ7,AbilityT[],2,FALSE)="General_R",0.5*VLOOKUP($E7,TeamT[],11,FALSE),IF(VLOOKUP($AJ7,AbilityT[],2,FALSE)="Agility_R",0.5*VLOOKUP($E7,TeamT[],12,FALSE),IF(VLOOKUP($AJ7,AbilityT[],2,FALSE)="Strength_R",0.5*VLOOKUP($E7,TeamT[],13,FALSE),IF(VLOOKUP($AJ7,AbilityT[],2,FALSE)="Passing_R",0.5*VLOOKUP($E7,TeamT[],14,FALSE),IF(VLOOKUP($AJ7,AbilityT[],2,FALSE)="Mutation_R",0.5*VLOOKUP($E7,TeamT[],15,FALSE),"ERROR")))))))))))))))+IF($AK7="",0,IF($AK7="+AV",10000,IF(OR($AK7="+MA",$AK7="+PA"),20000,IF($AK7="+AG",40000,IF($AK7="+ST",80000,20000*IF(VLOOKUP($AK7,AbilityT[],2,FALSE)="General",VLOOKUP($E7,TeamT[],11,FALSE),IF(VLOOKUP($AK7,AbilityT[],2,FALSE)="Agility",VLOOKUP($E7,TeamT[],12,FALSE),IF(VLOOKUP($AK7,AbilityT[],2,FALSE)="Strength",VLOOKUP($E7,TeamT[],13,FALSE),IF(VLOOKUP($AK7,AbilityT[],2,FALSE)="Passing",VLOOKUP($E7,TeamT[],14,FALSE),IF(VLOOKUP($AK7,AbilityT[],2,FALSE)="Mutation",VLOOKUP($E7,TeamT[],15,FALSE),IF(VLOOKUP($AK7,AbilityT[],2,FALSE)="General_R",0.5*VLOOKUP($E7,TeamT[],11,FALSE),IF(VLOOKUP($AK7,AbilityT[],2,FALSE)="Agility_R",0.5*VLOOKUP($E7,TeamT[],12,FALSE),IF(VLOOKUP($AK7,AbilityT[],2,FALSE)="Strength_R",0.5*VLOOKUP($E7,TeamT[],13,FALSE),IF(VLOOKUP($AK7,AbilityT[],2,FALSE)="Passing_R",0.5*VLOOKUP($E7,TeamT[],14,FALSE),IF(VLOOKUP($AK7,AbilityT[],2,FALSE)="Mutation_R",0.5*VLOOKUP($E7,TeamT[],15,FALSE),"ERROR")))))))))))))))+IF($AL7="",0,IF($AL7="+AV",10000,IF(OR($AL7="+MA",$AL7="+PA"),20000,IF($AL7="+AG",40000,IF($AL7="+ST",80000,20000*IF(VLOOKUP($AL7,AbilityT[],2,FALSE)="General",VLOOKUP($E7,TeamT[],11,FALSE),IF(VLOOKUP($AL7,AbilityT[],2,FALSE)="Agility",VLOOKUP($E7,TeamT[],12,FALSE),IF(VLOOKUP($AL7,AbilityT[],2,FALSE)="Strength",VLOOKUP($E7,TeamT[],13,FALSE),IF(VLOOKUP($AL7,AbilityT[],2,FALSE)="Passing",VLOOKUP($E7,TeamT[],14,FALSE),IF(VLOOKUP($AL7,AbilityT[],2,FALSE)="Mutation",VLOOKUP($E7,TeamT[],15,FALSE),IF(VLOOKUP($AL7,AbilityT[],2,FALSE)="General_R",0.5*VLOOKUP($E7,TeamT[],11,FALSE),IF(VLOOKUP($AL7,AbilityT[],2,FALSE)="Agility_R",0.5*VLOOKUP($E7,TeamT[],12,FALSE),IF(VLOOKUP($AL7,AbilityT[],2,FALSE)="Strength_R",0.5*VLOOKUP($E7,TeamT[],13,FALSE),IF(VLOOKUP($AL7,AbilityT[],2,FALSE)="Passing_R",0.5*VLOOKUP($E7,TeamT[],14,FALSE),IF(VLOOKUP($AL7,AbilityT[],2,FALSE)="Mutation_R",0.5*VLOOKUP($E7,TeamT[],15,FALSE),"ERROR")))))))))))))))+IF($AM7="",0,IF($AM7="+AV",10000,IF(OR($AM7="+MA",$AM7="+PA"),20000,IF($AM7="+AG",40000,IF($AM7="+ST",80000,20000*IF(VLOOKUP($AM7,AbilityT[],2,FALSE)="General",VLOOKUP($E7,TeamT[],11,FALSE),IF(VLOOKUP($AM7,AbilityT[],2,FALSE)="Agility",VLOOKUP($E7,TeamT[],12,FALSE),IF(VLOOKUP($AM7,AbilityT[],2,FALSE)="Strength",VLOOKUP($E7,TeamT[],13,FALSE),IF(VLOOKUP($AM7,AbilityT[],2,FALSE)="Passing",VLOOKUP($E7,TeamT[],14,FALSE),IF(VLOOKUP($AM7,AbilityT[],2,FALSE)="Mutation",VLOOKUP($E7,TeamT[],15,FALSE),IF(VLOOKUP($AM7,AbilityT[],2,FALSE)="General_R",0.5*VLOOKUP($E7,TeamT[],11,FALSE),IF(VLOOKUP($AM7,AbilityT[],2,FALSE)="Agility_R",0.5*VLOOKUP($E7,TeamT[],12,FALSE),IF(VLOOKUP($AM7,AbilityT[],2,FALSE)="Strength_R",0.5*VLOOKUP($E7,TeamT[],13,FALSE),IF(VLOOKUP($AM7,AbilityT[],2,FALSE)="Passing_R",0.5*VLOOKUP($E7,TeamT[],14,FALSE),IF(VLOOKUP($AM7,AbilityT[],2,FALSE)="Mutation_R",0.5*VLOOKUP($E7,TeamT[],15,FALSE),"ERROR")))))))))))))))+IF($AN7="",0,IF($AN7="+AV",10000,IF(OR($AN7="+MA",$AN7="+PA"),20000,IF($AN7="+AG",40000,IF($AN7="+ST",80000,20000*IF(VLOOKUP($AN7,AbilityT[],2,FALSE)="General",VLOOKUP($E7,TeamT[],11,FALSE),IF(VLOOKUP($AN7,AbilityT[],2,FALSE)="Agility",VLOOKUP($E7,TeamT[],12,FALSE),IF(VLOOKUP($AN7,AbilityT[],2,FALSE)="Strength",VLOOKUP($E7,TeamT[],13,FALSE),IF(VLOOKUP($AN7,AbilityT[],2,FALSE)="Passing",VLOOKUP($E7,TeamT[],14,FALSE),IF(VLOOKUP($AN7,AbilityT[],2,FALSE)="Mutation",VLOOKUP($E7,TeamT[],15,FALSE),IF(VLOOKUP($AN7,AbilityT[],2,FALSE)="General_R",0.5*VLOOKUP($E7,TeamT[],11,FALSE),IF(VLOOKUP($AN7,AbilityT[],2,FALSE)="Agility_R",0.5*VLOOKUP($E7,TeamT[],12,FALSE),IF(VLOOKUP($AN7,AbilityT[],2,FALSE)="Strength_R",0.5*VLOOKUP($E7,TeamT[],13,FALSE),IF(VLOOKUP($AN7,AbilityT[],2,FALSE)="Passing_R",0.5*VLOOKUP($E7,TeamT[],14,FALSE),IF(VLOOKUP($AN7,AbilityT[],2,FALSE)="Mutation_R",0.5*VLOOKUP($E7,TeamT[],15,FALSE),"ERROR")))))))))))))))+IF($AO7="",0,IF($AO7="+AV",10000,IF(OR($AO7="+MA",$AO7="+PA"),20000,IF($AO7="+AG",40000,IF($AO7="+ST",80000,20000*IF(VLOOKUP($AO7,AbilityT[],2,FALSE)="General",VLOOKUP($E7,TeamT[],11,FALSE),IF(VLOOKUP($AO7,AbilityT[],2,FALSE)="Agility",VLOOKUP($E7,TeamT[],12,FALSE),IF(VLOOKUP($AO7,AbilityT[],2,FALSE)="Strength",VLOOKUP($E7,TeamT[],13,FALSE),IF(VLOOKUP($AO7,AbilityT[],2,FALSE)="Passing",VLOOKUP($E7,TeamT[],14,FALSE),IF(VLOOKUP($AO7,AbilityT[],2,FALSE)="Mutation",VLOOKUP($E7,TeamT[],15,FALSE),IF(VLOOKUP($AO7,AbilityT[],2,FALSE)="General_R",0.5*VLOOKUP($E7,TeamT[],11,FALSE),IF(VLOOKUP($AO7,AbilityT[],2,FALSE)="Agility_R",0.5*VLOOKUP($E7,TeamT[],12,FALSE),IF(VLOOKUP($AO7,AbilityT[],2,FALSE)="Strength_R",0.5*VLOOKUP($E7,TeamT[],13,FALSE),IF(VLOOKUP($AO7,AbilityT[],2,FALSE)="Passing_R",0.5*VLOOKUP($E7,TeamT[],14,FALSE),IF(VLOOKUP($AO7,AbilityT[],2,FALSE)="Mutation_R",0.5*VLOOKUP($E7,TeamT[],15,FALSE),"ERROR"))))))))))))))))+$AC7)</f>
        <v>0</v>
      </c>
      <c r="AC7" s="190"/>
      <c r="AD7" s="193"/>
      <c r="AE7" s="119"/>
      <c r="AF7" s="120"/>
      <c r="AG7" s="120"/>
      <c r="AH7" s="120"/>
      <c r="AI7" s="121"/>
      <c r="AJ7" s="118"/>
      <c r="AK7" s="118"/>
      <c r="AL7" s="118"/>
      <c r="AM7" s="118"/>
      <c r="AN7" s="118"/>
      <c r="AO7" s="118"/>
      <c r="AP7" s="199"/>
      <c r="BC7" s="1" t="e">
        <f>VLOOKUP($E7,TeamT[],5,FALSE)</f>
        <v>#N/A</v>
      </c>
      <c r="BD7" s="1" t="e">
        <f>VLOOKUP($E7,TeamT[],6,FALSE)</f>
        <v>#N/A</v>
      </c>
      <c r="BE7" s="1" t="e">
        <f>VLOOKUP($E7,TeamT[],19,FALSE)</f>
        <v>#N/A</v>
      </c>
      <c r="BF7" s="1" t="e">
        <f>VLOOKUP($E7,TeamT[],20,FALSE)</f>
        <v>#N/A</v>
      </c>
      <c r="BG7" s="1" t="e">
        <f>VLOOKUP($E7,TeamT[],21,FALSE)</f>
        <v>#N/A</v>
      </c>
    </row>
    <row r="8" spans="2:59 1030:1031" ht="34.9" customHeight="1" thickBot="1" x14ac:dyDescent="0.2">
      <c r="B8" s="180">
        <v>4</v>
      </c>
      <c r="C8" s="110"/>
      <c r="D8" s="70">
        <f t="shared" si="1"/>
        <v>0</v>
      </c>
      <c r="E8" s="264"/>
      <c r="F8" s="264"/>
      <c r="G8" s="264"/>
      <c r="H8" s="72" t="str">
        <f>IF($E8&lt;&gt;"",VLOOKUP(E8,TeamT[],4,FALSE),"")</f>
        <v/>
      </c>
      <c r="I8" s="229" t="str">
        <f>IF($E8="","",IF(VLOOKUP($E8,TeamT[],5,FALSE)+COUNTIF($AJ8:$AO8,"=+MA")+$AE8&gt;9,9,IF(VLOOKUP($E8,TeamT[],5,FALSE)+COUNTIF($AJ8:$AO8,"=+MA")+$AE8&lt;1,1,VLOOKUP($E8,TeamT[],5,FALSE)+COUNTIF($AJ8:$AO8,"=+MA")+$AE8)))</f>
        <v/>
      </c>
      <c r="J8" s="230" t="str">
        <f>IF($E8="","",IF(VLOOKUP($E8,TeamT[],6,FALSE)+COUNTIF($AJ8:$AO8,"=+ST")+$AF8&gt;8,8,IF(VLOOKUP($E8,TeamT[],6,FALSE)+COUNTIF($AJ8:$AO8,"=+ST")+$AF8&lt;1,1,VLOOKUP($E8,TeamT[],6,FALSE)+COUNTIF($AJ8:$AO8,"=+ST")+$AF8)))</f>
        <v/>
      </c>
      <c r="K8" s="231" t="str">
        <f>IF($E8="","",IF(VLOOKUP($E8,TeamT[],19,FALSE)-COUNTIF($AJ8:$AO8,"=+AG")-$AG8&gt;6,6,IF(VLOOKUP($E8,TeamT[],19,FALSE)-COUNTIF($AJ8:$AO8,"=+AG")-$AG8&lt;1,1,VLOOKUP($E8,TeamT[],19,FALSE)-COUNTIF($AJ8:$AO8,"=+AG")-$AG8)))</f>
        <v/>
      </c>
      <c r="L8" s="231" t="str">
        <f>IF($E8="","",IF(VLOOKUP($E8,TeamT[],20,FALSE)="-","-",IF(VLOOKUP($E8,TeamT[],20,FALSE)-COUNTIF($AJ8:$AO8,"=+PA")-$AH8&gt;6,6,IF(VLOOKUP($E8,TeamT[],20,FALSE)-COUNTIF($AJ8:$AO8,"=+PA")-$AH8&lt;1,1,VLOOKUP($E8,TeamT[],20,FALSE)-COUNTIF($AJ8:$AO8,"=+PA")-$AH8))))</f>
        <v/>
      </c>
      <c r="M8" s="231" t="str">
        <f>IF($E8="","",IF(VLOOKUP($E8,TeamT[],21,FALSE)+COUNTIF($AJ8:$AO8,"=+AV")+$AI8&gt;11,11,IF(VLOOKUP($E8,TeamT[],21,FALSE)+COUNTIF($AJ8:$AO8,"=+AV")+$AI8&lt;3,3,VLOOKUP($E8,TeamT[],21,FALSE)+COUNTIF($AJ8:$AO8,"=+AV")+$AI8)))</f>
        <v/>
      </c>
      <c r="N8" s="225" t="str">
        <f>IF($E8="","",IF(COUNTIF($E$5:$E$20,$E8)&gt;VLOOKUP($E8,TeamT[],4,FALSE),"ERROR! Too many Player wit same role",(IF(Reces!$BR7&lt;&gt;0,"ERROR! Too many Big Guys!",(IF(Reces!$BT7&lt;&gt;0,"ERROR! Too many Star Players!",VLOOKUP($E8,TeamT[],10,FALSE)))))))</f>
        <v/>
      </c>
      <c r="O8" s="106" t="str">
        <f t="shared" si="2"/>
        <v/>
      </c>
      <c r="P8" s="254"/>
      <c r="Q8" s="254"/>
      <c r="R8" s="183"/>
      <c r="S8" s="183"/>
      <c r="T8" s="183"/>
      <c r="U8" s="183"/>
      <c r="V8" s="183"/>
      <c r="W8" s="183"/>
      <c r="X8" s="184"/>
      <c r="Y8" s="117">
        <f t="shared" si="0"/>
        <v>0</v>
      </c>
      <c r="Z8" s="172">
        <f>IF(LEFT($E8,1)="*","Star",$Y8+IF($AJ8=0,0,IF(OR($AJ8="+MA",$AJ8="+ST",$AJ8="+AG",$AJ8="+PA",$AJ8="+AV"),-18,IF(VLOOKUP($AJ8,AbilityT[],2,FALSE)="General",-6*VLOOKUP($E8,TeamT[],11,FALSE),IF(VLOOKUP($AJ8,AbilityT[],2,FALSE)="Agility",-6*VLOOKUP($E8,TeamT[],12,FALSE),IF(VLOOKUP($AJ8,AbilityT[],2,FALSE)="Strength",-6*VLOOKUP($E8,TeamT[],13,FALSE),IF(VLOOKUP($AJ8,AbilityT[],2,FALSE)="Passing",-6*VLOOKUP($E8,TeamT[],14,FALSE),IF(VLOOKUP($AJ8,AbilityT[],2,FALSE)="Mutation",-6*VLOOKUP($E8,TeamT[],15,FALSE),IF(VLOOKUP($AJ8,AbilityT[],2,FALSE)="General_R",-3*VLOOKUP($E8,TeamT[],11,FALSE),IF(VLOOKUP($AJ8,AbilityT[],2,FALSE)="Agility_R",-3*VLOOKUP($E8,TeamT[],12,FALSE),IF(VLOOKUP($AJ8,AbilityT[],2,FALSE)="Strength_R",-3*VLOOKUP($E8,TeamT[],13,FALSE),IF(VLOOKUP($AJ8,AbilityT[],2,FALSE)="Passing_R",-3*VLOOKUP($E8,TeamT[],14,FALSE),IF(VLOOKUP($AJ8,AbilityT[],2,FALSE)="Mutation_R",-3*VLOOKUP($E8,TeamT[],15,FALSE),"ERROR")))))))))))+IF($AK8=0,0,IF(OR($AK8="+MA",$AK8="+ST",$AK8="+AG",$AK8="+PA",$AK8="+AV"),-20,IF(VLOOKUP($AK8,AbilityT[],2,FALSE)="General",IF(VLOOKUP($E8,TeamT[],11,FALSE)=1,-8*VLOOKUP($E8,TeamT[],11,FALSE),-7*VLOOKUP($E8,TeamT[],11,FALSE)),IF(VLOOKUP($AK8,AbilityT[],2,FALSE)="Agility",IF(VLOOKUP($E8,TeamT[],12,FALSE)=1,-8*VLOOKUP($E8,TeamT[],12,FALSE),-7*VLOOKUP($E8,TeamT[],12,FALSE)),IF(VLOOKUP($AK8,AbilityT[],2,FALSE)="Strength",IF(VLOOKUP($E8,TeamT[],13,FALSE)=1,-8*VLOOKUP($E8,TeamT[],13,FALSE),-7*VLOOKUP($E8,TeamT[],13,FALSE)),IF(VLOOKUP($AK8,AbilityT[],2,FALSE)="Passing",IF(VLOOKUP($E8,TeamT[],14,FALSE)=1,-8*VLOOKUP($E8,TeamT[],14,FALSE),-7*VLOOKUP($E8,TeamT[],14,FALSE)),IF(VLOOKUP($AK8,AbilityT[],2,FALSE)="Mutation",IF(VLOOKUP($E8,TeamT[],15,FALSE)=1,-8*VLOOKUP($E8,TeamT[],15,FALSE),-7*VLOOKUP($E8,TeamT[],15,FALSE)),IF(VLOOKUP($AK8,AbilityT[],2,FALSE)="General_R",-4*VLOOKUP($E8,TeamT[],11,FALSE),IF(VLOOKUP($AK8,AbilityT[],2,FALSE)="Agility_R",-4*VLOOKUP($E8,TeamT[],12,FALSE),IF(VLOOKUP($AK8,AbilityT[],2,FALSE)="Strength_R",-4*VLOOKUP($E8,TeamT[],13,FALSE),IF(VLOOKUP($AK8,AbilityT[],2,FALSE)="Passing_R",-4*VLOOKUP($E8,TeamT[],14,FALSE),IF(VLOOKUP($AK8,AbilityT[],2,FALSE)="Mutation_R",-4*VLOOKUP($E8,TeamT[],15,FALSE),"ERROR"))))))))))))+IF($AL8=0,0,IF(OR($AL8="+MA",$AL8="+ST",$AL8="+AG",$AL8="+PA",$AL8="+AV"),-24,IF(VLOOKUP($AL8,AbilityT[],2,FALSE)="General",IF(VLOOKUP($E8,TeamT[],11,FALSE)=1,-12*VLOOKUP($E8,TeamT[],11,FALSE),-9*VLOOKUP($E8,TeamT[],11,FALSE)),IF(VLOOKUP($AL8,AbilityT[],2,FALSE)="Agility",IF(VLOOKUP($E8,TeamT[],12,FALSE)=1,-12*VLOOKUP($E8,TeamT[],12,FALSE),-9*VLOOKUP($E8,TeamT[],12,FALSE)),IF(VLOOKUP($AL8,AbilityT[],2,FALSE)="Strength",IF(VLOOKUP($E8,TeamT[],13,FALSE)=1,-12*VLOOKUP($E8,TeamT[],13,FALSE),-9*VLOOKUP($E8,TeamT[],13,FALSE)),IF(VLOOKUP($AL8,AbilityT[],2,FALSE)="Passing",IF(VLOOKUP($E8,TeamT[],14,FALSE)=1,-12*VLOOKUP($E8,TeamT[],14,FALSE),-9*VLOOKUP($E8,TeamT[],14,FALSE)),IF(VLOOKUP($AL8,AbilityT[],2,FALSE)="Mutation",IF(VLOOKUP($E8,TeamT[],15,FALSE)=1,-12*VLOOKUP($E8,TeamT[],15,FALSE),-9*VLOOKUP($E8,TeamT[],15,FALSE)),IF(VLOOKUP($AL8,AbilityT[],2,FALSE)="General_R",-6*VLOOKUP($E8,TeamT[],11,FALSE),IF(VLOOKUP($AL8,AbilityT[],2,FALSE)="Agility_R",-6*VLOOKUP($E8,TeamT[],12,FALSE),IF(VLOOKUP($AL8,AbilityT[],2,FALSE)="Strength_R",-6*VLOOKUP($E8,TeamT[],13,FALSE),IF(VLOOKUP($AL8,AbilityT[],2,FALSE)="Passing_R",-6*VLOOKUP($E8,TeamT[],14,FALSE),IF(VLOOKUP($AL8,AbilityT[],2,FALSE)="Mutation_R",-6*VLOOKUP($E8,TeamT[],15,FALSE),"ERROR"))))))))))))+IF($AM8=0,0,IF(OR($AM8="+MA",$AM8="+ST",$AM8="+AG",$AM8="+PA",$AM8="+AV"),-28,IF(VLOOKUP($AM8,AbilityT[],2,FALSE)="General",IF(VLOOKUP($E8,TeamT[],11,FALSE)=1,-16*VLOOKUP($E8,TeamT[],11,FALSE),-11*VLOOKUP($E8,TeamT[],11,FALSE)),IF(VLOOKUP($AM8,AbilityT[],2,FALSE)="Agility",IF(VLOOKUP($E8,TeamT[],12,FALSE)=1,-16*VLOOKUP($E8,TeamT[],12,FALSE),-11*VLOOKUP($E8,TeamT[],12,FALSE)),IF(VLOOKUP($AM8,AbilityT[],2,FALSE)="Strength",IF(VLOOKUP($E8,TeamT[],13,FALSE)=1,-16*VLOOKUP($E8,TeamT[],13,FALSE),-11*VLOOKUP($E8,TeamT[],13,FALSE)),IF(VLOOKUP($AM8,AbilityT[],2,FALSE)="Passing",IF(VLOOKUP($E8,TeamT[],14,FALSE)=1,-16*VLOOKUP($E8,TeamT[],14,FALSE),-11*VLOOKUP($E8,TeamT[],14,FALSE)),IF(VLOOKUP($AM8,AbilityT[],2,FALSE)="Mutation",IF(VLOOKUP($E8,TeamT[],15,FALSE)=1,-16*VLOOKUP($E8,TeamT[],15,FALSE),-11*VLOOKUP($E8,TeamT[],15,FALSE)),IF(VLOOKUP($AM8,AbilityT[],2,FALSE)="General_R",-8*VLOOKUP($E8,TeamT[],11,FALSE),IF(VLOOKUP($AM8,AbilityT[],2,FALSE)="Agility_R",-8*VLOOKUP($E8,TeamT[],12,FALSE),IF(VLOOKUP($AM8,AbilityT[],2,FALSE)="Strength_R",-8*VLOOKUP($E8,TeamT[],13,FALSE),IF(VLOOKUP($AM8,AbilityT[],2,FALSE)="Passing_R",-8*VLOOKUP($E8,TeamT[],14,FALSE),IF(VLOOKUP($AM8,AbilityT[],2,FALSE)="Mutation_R",-8*VLOOKUP($E8,TeamT[],15,FALSE),"ERROR"))))))))))))+IF($AN8=0,0,IF(OR($AN8="+MA",$AN8="+ST",$AN8="+AG",$AN8="+PA",$AN8="+AV"),-32,IF(VLOOKUP($AN8,AbilityT[],2,FALSE)="General",IF(VLOOKUP($E8,TeamT[],11,FALSE)=1,-20*VLOOKUP($E8,TeamT[],11,FALSE),-13*VLOOKUP($E8,TeamT[],11,FALSE)),IF(VLOOKUP($AN8,AbilityT[],2,FALSE)="Agility",IF(VLOOKUP($E8,TeamT[],12,FALSE)=1,-20*VLOOKUP($E8,TeamT[],12,FALSE),-13*VLOOKUP($E8,TeamT[],12,FALSE)),IF(VLOOKUP($AN8,AbilityT[],2,FALSE)="Strength",IF(VLOOKUP($E8,TeamT[],13,FALSE)=1,-20*VLOOKUP($E8,TeamT[],13,FALSE),-13*VLOOKUP($E8,TeamT[],13,FALSE)),IF(VLOOKUP($AN8,AbilityT[],2,FALSE)="Passing",IF(VLOOKUP($E8,TeamT[],14,FALSE)=1,-20*VLOOKUP($E8,TeamT[],14,FALSE),-13*VLOOKUP($E8,TeamT[],14,FALSE)),IF(VLOOKUP($AN8,AbilityT[],2,FALSE)="Mutation",IF(VLOOKUP($E8,TeamT[],15,FALSE)=1,-20*VLOOKUP($E8,TeamT[],15,FALSE),-13*VLOOKUP($E8,TeamT[],15,FALSE)),IF(VLOOKUP($AN8,AbilityT[],2,FALSE)="General_R",-10*VLOOKUP($E8,TeamT[],11,FALSE),IF(VLOOKUP($AN8,AbilityT[],2,FALSE)="Agility_R",-10*VLOOKUP($E8,TeamT[],12,FALSE),IF(VLOOKUP($AN8,AbilityT[],2,FALSE)="Strength_R",-10*VLOOKUP($E8,TeamT[],13,FALSE),IF(VLOOKUP($AN8,AbilityT[],2,FALSE)="Passing_R",-10*VLOOKUP($E8,TeamT[],14,FALSE),IF(VLOOKUP($AN8,AbilityT[],2,FALSE)="Mutation_R",-10*VLOOKUP($E8,TeamT[],15,FALSE),"ERROR"))))))))))))+IF($AO8=0,0,IF(OR($AO8="+MA",$AO8="+ST",$AO8="+AG",$AO8="+PA",$AO8="+AV"),-50,IF(VLOOKUP($AO8,AbilityT[],2,FALSE)="General",IF(VLOOKUP($E8,TeamT[],11,FALSE)=1,-30*VLOOKUP($E8,TeamT[],11,FALSE),-20*VLOOKUP($E8,TeamT[],11,FALSE)),IF(VLOOKUP($AO8,AbilityT[],2,FALSE)="Agility",IF(VLOOKUP($E8,TeamT[],12,FALSE)=1,-30*VLOOKUP($E8,TeamT[],12,FALSE),-20*VLOOKUP($E8,TeamT[],12,FALSE)),IF(VLOOKUP($AO8,AbilityT[],2,FALSE)="Strength",IF(VLOOKUP($E8,TeamT[],13,FALSE)=1,-30*VLOOKUP($E8,TeamT[],13,FALSE),-20*VLOOKUP($E8,TeamT[],13,FALSE)),IF(VLOOKUP($AO8,AbilityT[],2,FALSE)="Passing",IF(VLOOKUP($E8,TeamT[],14,FALSE)=1,-30*VLOOKUP($E8,TeamT[],14,FALSE),-20*VLOOKUP($E8,TeamT[],14,FALSE)),IF(VLOOKUP($AO8,AbilityT[],2,FALSE)="Mutation",IF(VLOOKUP($E8,TeamT[],15,FALSE)=1,-30*VLOOKUP($E8,TeamT[],15,FALSE),-20*VLOOKUP($E8,TeamT[],15,FALSE)),IF(VLOOKUP($AO8,AbilityT[],2,FALSE)="General_R",-15*VLOOKUP($E8,TeamT[],11,FALSE),IF(VLOOKUP($AO8,AbilityT[],2,FALSE)="Agility_R",-15*VLOOKUP($E8,TeamT[],12,FALSE),IF(VLOOKUP($AO8,AbilityT[],2,FALSE)="Strength_R",-15*VLOOKUP($E8,TeamT[],13,FALSE),IF(VLOOKUP($AO8,AbilityT[],2,FALSE)="Passing_R",-15*VLOOKUP($E8,TeamT[],14,FALSE),IF(VLOOKUP($AO8,AbilityT[],2,FALSE)="Mutation_R",-15*VLOOKUP($E8,TeamT[],15,FALSE),"ERROR")))))))))))))+IF($AA8&lt;=5,-6*$AA8,-6*$AA8-4))</f>
        <v>0</v>
      </c>
      <c r="AA8" s="188"/>
      <c r="AB8" s="115">
        <f>IF($E8="",0,VLOOKUP($E8,TeamT[],3,FALSE)+IF($O$28="Tournament Setup",0,IF($AJ8="",0,IF($AJ8="+AV",10000,IF(OR($AJ8="+MA",$AJ8="+PA"),20000,IF($AJ8="+AG",40000,IF($AJ8="+ST",80000,20000*IF(VLOOKUP($AJ8,AbilityT[],2,FALSE)="General",VLOOKUP($E8,TeamT[],11,FALSE),IF(VLOOKUP($AJ8,AbilityT[],2,FALSE)="Agility",VLOOKUP($E8,TeamT[],12,FALSE),IF(VLOOKUP($AJ8,AbilityT[],2,FALSE)="Strength",VLOOKUP($E8,TeamT[],13,FALSE),IF(VLOOKUP($AJ8,AbilityT[],2,FALSE)="Passing",VLOOKUP($E8,TeamT[],14,FALSE),IF(VLOOKUP($AJ8,AbilityT[],2,FALSE)="Mutation",VLOOKUP($E8,TeamT[],15,FALSE),IF(VLOOKUP($AJ8,AbilityT[],2,FALSE)="General_R",0.5*VLOOKUP($E8,TeamT[],11,FALSE),IF(VLOOKUP($AJ8,AbilityT[],2,FALSE)="Agility_R",0.5*VLOOKUP($E8,TeamT[],12,FALSE),IF(VLOOKUP($AJ8,AbilityT[],2,FALSE)="Strength_R",0.5*VLOOKUP($E8,TeamT[],13,FALSE),IF(VLOOKUP($AJ8,AbilityT[],2,FALSE)="Passing_R",0.5*VLOOKUP($E8,TeamT[],14,FALSE),IF(VLOOKUP($AJ8,AbilityT[],2,FALSE)="Mutation_R",0.5*VLOOKUP($E8,TeamT[],15,FALSE),"ERROR")))))))))))))))+IF($AK8="",0,IF($AK8="+AV",10000,IF(OR($AK8="+MA",$AK8="+PA"),20000,IF($AK8="+AG",40000,IF($AK8="+ST",80000,20000*IF(VLOOKUP($AK8,AbilityT[],2,FALSE)="General",VLOOKUP($E8,TeamT[],11,FALSE),IF(VLOOKUP($AK8,AbilityT[],2,FALSE)="Agility",VLOOKUP($E8,TeamT[],12,FALSE),IF(VLOOKUP($AK8,AbilityT[],2,FALSE)="Strength",VLOOKUP($E8,TeamT[],13,FALSE),IF(VLOOKUP($AK8,AbilityT[],2,FALSE)="Passing",VLOOKUP($E8,TeamT[],14,FALSE),IF(VLOOKUP($AK8,AbilityT[],2,FALSE)="Mutation",VLOOKUP($E8,TeamT[],15,FALSE),IF(VLOOKUP($AK8,AbilityT[],2,FALSE)="General_R",0.5*VLOOKUP($E8,TeamT[],11,FALSE),IF(VLOOKUP($AK8,AbilityT[],2,FALSE)="Agility_R",0.5*VLOOKUP($E8,TeamT[],12,FALSE),IF(VLOOKUP($AK8,AbilityT[],2,FALSE)="Strength_R",0.5*VLOOKUP($E8,TeamT[],13,FALSE),IF(VLOOKUP($AK8,AbilityT[],2,FALSE)="Passing_R",0.5*VLOOKUP($E8,TeamT[],14,FALSE),IF(VLOOKUP($AK8,AbilityT[],2,FALSE)="Mutation_R",0.5*VLOOKUP($E8,TeamT[],15,FALSE),"ERROR")))))))))))))))+IF($AL8="",0,IF($AL8="+AV",10000,IF(OR($AL8="+MA",$AL8="+PA"),20000,IF($AL8="+AG",40000,IF($AL8="+ST",80000,20000*IF(VLOOKUP($AL8,AbilityT[],2,FALSE)="General",VLOOKUP($E8,TeamT[],11,FALSE),IF(VLOOKUP($AL8,AbilityT[],2,FALSE)="Agility",VLOOKUP($E8,TeamT[],12,FALSE),IF(VLOOKUP($AL8,AbilityT[],2,FALSE)="Strength",VLOOKUP($E8,TeamT[],13,FALSE),IF(VLOOKUP($AL8,AbilityT[],2,FALSE)="Passing",VLOOKUP($E8,TeamT[],14,FALSE),IF(VLOOKUP($AL8,AbilityT[],2,FALSE)="Mutation",VLOOKUP($E8,TeamT[],15,FALSE),IF(VLOOKUP($AL8,AbilityT[],2,FALSE)="General_R",0.5*VLOOKUP($E8,TeamT[],11,FALSE),IF(VLOOKUP($AL8,AbilityT[],2,FALSE)="Agility_R",0.5*VLOOKUP($E8,TeamT[],12,FALSE),IF(VLOOKUP($AL8,AbilityT[],2,FALSE)="Strength_R",0.5*VLOOKUP($E8,TeamT[],13,FALSE),IF(VLOOKUP($AL8,AbilityT[],2,FALSE)="Passing_R",0.5*VLOOKUP($E8,TeamT[],14,FALSE),IF(VLOOKUP($AL8,AbilityT[],2,FALSE)="Mutation_R",0.5*VLOOKUP($E8,TeamT[],15,FALSE),"ERROR")))))))))))))))+IF($AM8="",0,IF($AM8="+AV",10000,IF(OR($AM8="+MA",$AM8="+PA"),20000,IF($AM8="+AG",40000,IF($AM8="+ST",80000,20000*IF(VLOOKUP($AM8,AbilityT[],2,FALSE)="General",VLOOKUP($E8,TeamT[],11,FALSE),IF(VLOOKUP($AM8,AbilityT[],2,FALSE)="Agility",VLOOKUP($E8,TeamT[],12,FALSE),IF(VLOOKUP($AM8,AbilityT[],2,FALSE)="Strength",VLOOKUP($E8,TeamT[],13,FALSE),IF(VLOOKUP($AM8,AbilityT[],2,FALSE)="Passing",VLOOKUP($E8,TeamT[],14,FALSE),IF(VLOOKUP($AM8,AbilityT[],2,FALSE)="Mutation",VLOOKUP($E8,TeamT[],15,FALSE),IF(VLOOKUP($AM8,AbilityT[],2,FALSE)="General_R",0.5*VLOOKUP($E8,TeamT[],11,FALSE),IF(VLOOKUP($AM8,AbilityT[],2,FALSE)="Agility_R",0.5*VLOOKUP($E8,TeamT[],12,FALSE),IF(VLOOKUP($AM8,AbilityT[],2,FALSE)="Strength_R",0.5*VLOOKUP($E8,TeamT[],13,FALSE),IF(VLOOKUP($AM8,AbilityT[],2,FALSE)="Passing_R",0.5*VLOOKUP($E8,TeamT[],14,FALSE),IF(VLOOKUP($AM8,AbilityT[],2,FALSE)="Mutation_R",0.5*VLOOKUP($E8,TeamT[],15,FALSE),"ERROR")))))))))))))))+IF($AN8="",0,IF($AN8="+AV",10000,IF(OR($AN8="+MA",$AN8="+PA"),20000,IF($AN8="+AG",40000,IF($AN8="+ST",80000,20000*IF(VLOOKUP($AN8,AbilityT[],2,FALSE)="General",VLOOKUP($E8,TeamT[],11,FALSE),IF(VLOOKUP($AN8,AbilityT[],2,FALSE)="Agility",VLOOKUP($E8,TeamT[],12,FALSE),IF(VLOOKUP($AN8,AbilityT[],2,FALSE)="Strength",VLOOKUP($E8,TeamT[],13,FALSE),IF(VLOOKUP($AN8,AbilityT[],2,FALSE)="Passing",VLOOKUP($E8,TeamT[],14,FALSE),IF(VLOOKUP($AN8,AbilityT[],2,FALSE)="Mutation",VLOOKUP($E8,TeamT[],15,FALSE),IF(VLOOKUP($AN8,AbilityT[],2,FALSE)="General_R",0.5*VLOOKUP($E8,TeamT[],11,FALSE),IF(VLOOKUP($AN8,AbilityT[],2,FALSE)="Agility_R",0.5*VLOOKUP($E8,TeamT[],12,FALSE),IF(VLOOKUP($AN8,AbilityT[],2,FALSE)="Strength_R",0.5*VLOOKUP($E8,TeamT[],13,FALSE),IF(VLOOKUP($AN8,AbilityT[],2,FALSE)="Passing_R",0.5*VLOOKUP($E8,TeamT[],14,FALSE),IF(VLOOKUP($AN8,AbilityT[],2,FALSE)="Mutation_R",0.5*VLOOKUP($E8,TeamT[],15,FALSE),"ERROR")))))))))))))))+IF($AO8="",0,IF($AO8="+AV",10000,IF(OR($AO8="+MA",$AO8="+PA"),20000,IF($AO8="+AG",40000,IF($AO8="+ST",80000,20000*IF(VLOOKUP($AO8,AbilityT[],2,FALSE)="General",VLOOKUP($E8,TeamT[],11,FALSE),IF(VLOOKUP($AO8,AbilityT[],2,FALSE)="Agility",VLOOKUP($E8,TeamT[],12,FALSE),IF(VLOOKUP($AO8,AbilityT[],2,FALSE)="Strength",VLOOKUP($E8,TeamT[],13,FALSE),IF(VLOOKUP($AO8,AbilityT[],2,FALSE)="Passing",VLOOKUP($E8,TeamT[],14,FALSE),IF(VLOOKUP($AO8,AbilityT[],2,FALSE)="Mutation",VLOOKUP($E8,TeamT[],15,FALSE),IF(VLOOKUP($AO8,AbilityT[],2,FALSE)="General_R",0.5*VLOOKUP($E8,TeamT[],11,FALSE),IF(VLOOKUP($AO8,AbilityT[],2,FALSE)="Agility_R",0.5*VLOOKUP($E8,TeamT[],12,FALSE),IF(VLOOKUP($AO8,AbilityT[],2,FALSE)="Strength_R",0.5*VLOOKUP($E8,TeamT[],13,FALSE),IF(VLOOKUP($AO8,AbilityT[],2,FALSE)="Passing_R",0.5*VLOOKUP($E8,TeamT[],14,FALSE),IF(VLOOKUP($AO8,AbilityT[],2,FALSE)="Mutation_R",0.5*VLOOKUP($E8,TeamT[],15,FALSE),"ERROR"))))))))))))))))+$AC8)</f>
        <v>0</v>
      </c>
      <c r="AC8" s="190"/>
      <c r="AD8" s="193"/>
      <c r="AE8" s="119"/>
      <c r="AF8" s="120"/>
      <c r="AG8" s="120"/>
      <c r="AH8" s="120"/>
      <c r="AI8" s="121"/>
      <c r="AJ8" s="118"/>
      <c r="AK8" s="118"/>
      <c r="AL8" s="118"/>
      <c r="AM8" s="118"/>
      <c r="AN8" s="118"/>
      <c r="AO8" s="118"/>
      <c r="AP8" s="199"/>
      <c r="BC8" s="1" t="e">
        <f>VLOOKUP($E8,TeamT[],5,FALSE)</f>
        <v>#N/A</v>
      </c>
      <c r="BD8" s="1" t="e">
        <f>VLOOKUP($E8,TeamT[],6,FALSE)</f>
        <v>#N/A</v>
      </c>
      <c r="BE8" s="1" t="e">
        <f>VLOOKUP($E8,TeamT[],19,FALSE)</f>
        <v>#N/A</v>
      </c>
      <c r="BF8" s="1" t="e">
        <f>VLOOKUP($E8,TeamT[],20,FALSE)</f>
        <v>#N/A</v>
      </c>
      <c r="BG8" s="1" t="e">
        <f>VLOOKUP($E8,TeamT[],21,FALSE)</f>
        <v>#N/A</v>
      </c>
    </row>
    <row r="9" spans="2:59 1030:1031" ht="34.9" customHeight="1" thickBot="1" x14ac:dyDescent="0.2">
      <c r="B9" s="180">
        <v>5</v>
      </c>
      <c r="C9" s="110"/>
      <c r="D9" s="70">
        <f t="shared" si="1"/>
        <v>0</v>
      </c>
      <c r="E9" s="264"/>
      <c r="F9" s="264"/>
      <c r="G9" s="264"/>
      <c r="H9" s="72" t="str">
        <f>IF($E9&lt;&gt;"",VLOOKUP(E9,TeamT[],4,FALSE),"")</f>
        <v/>
      </c>
      <c r="I9" s="229" t="str">
        <f>IF($E9="","",IF(VLOOKUP($E9,TeamT[],5,FALSE)+COUNTIF($AJ9:$AO9,"=+MA")+$AE9&gt;9,9,IF(VLOOKUP($E9,TeamT[],5,FALSE)+COUNTIF($AJ9:$AO9,"=+MA")+$AE9&lt;1,1,VLOOKUP($E9,TeamT[],5,FALSE)+COUNTIF($AJ9:$AO9,"=+MA")+$AE9)))</f>
        <v/>
      </c>
      <c r="J9" s="230" t="str">
        <f>IF($E9="","",IF(VLOOKUP($E9,TeamT[],6,FALSE)+COUNTIF($AJ9:$AO9,"=+ST")+$AF9&gt;8,8,IF(VLOOKUP($E9,TeamT[],6,FALSE)+COUNTIF($AJ9:$AO9,"=+ST")+$AF9&lt;1,1,VLOOKUP($E9,TeamT[],6,FALSE)+COUNTIF($AJ9:$AO9,"=+ST")+$AF9)))</f>
        <v/>
      </c>
      <c r="K9" s="231" t="str">
        <f>IF($E9="","",IF(VLOOKUP($E9,TeamT[],19,FALSE)-COUNTIF($AJ9:$AO9,"=+AG")-$AG9&gt;6,6,IF(VLOOKUP($E9,TeamT[],19,FALSE)-COUNTIF($AJ9:$AO9,"=+AG")-$AG9&lt;1,1,VLOOKUP($E9,TeamT[],19,FALSE)-COUNTIF($AJ9:$AO9,"=+AG")-$AG9)))</f>
        <v/>
      </c>
      <c r="L9" s="231" t="str">
        <f>IF($E9="","",IF(VLOOKUP($E9,TeamT[],20,FALSE)="-","-",IF(VLOOKUP($E9,TeamT[],20,FALSE)-COUNTIF($AJ9:$AO9,"=+PA")-$AH9&gt;6,6,IF(VLOOKUP($E9,TeamT[],20,FALSE)-COUNTIF($AJ9:$AO9,"=+PA")-$AH9&lt;1,1,VLOOKUP($E9,TeamT[],20,FALSE)-COUNTIF($AJ9:$AO9,"=+PA")-$AH9))))</f>
        <v/>
      </c>
      <c r="M9" s="231" t="str">
        <f>IF($E9="","",IF(VLOOKUP($E9,TeamT[],21,FALSE)+COUNTIF($AJ9:$AO9,"=+AV")+$AI9&gt;11,11,IF(VLOOKUP($E9,TeamT[],21,FALSE)+COUNTIF($AJ9:$AO9,"=+AV")+$AI9&lt;3,3,VLOOKUP($E9,TeamT[],21,FALSE)+COUNTIF($AJ9:$AO9,"=+AV")+$AI9)))</f>
        <v/>
      </c>
      <c r="N9" s="225" t="str">
        <f>IF($E9="","",IF(COUNTIF($E$5:$E$20,$E9)&gt;VLOOKUP($E9,TeamT[],4,FALSE),"ERROR! Too many Player wit same role",(IF(Reces!$BR8&lt;&gt;0,"ERROR! Too many Big Guys!",(IF(Reces!$BT8&lt;&gt;0,"ERROR! Too many Star Players!",VLOOKUP($E9,TeamT[],10,FALSE)))))))</f>
        <v/>
      </c>
      <c r="O9" s="106" t="str">
        <f t="shared" si="2"/>
        <v/>
      </c>
      <c r="P9" s="254"/>
      <c r="Q9" s="254"/>
      <c r="R9" s="183"/>
      <c r="S9" s="183"/>
      <c r="T9" s="183"/>
      <c r="U9" s="183"/>
      <c r="V9" s="183"/>
      <c r="W9" s="183"/>
      <c r="X9" s="184"/>
      <c r="Y9" s="117">
        <f t="shared" si="0"/>
        <v>0</v>
      </c>
      <c r="Z9" s="172">
        <f>IF(LEFT($E9,1)="*","Star",$Y9+IF($AJ9=0,0,IF(OR($AJ9="+MA",$AJ9="+ST",$AJ9="+AG",$AJ9="+PA",$AJ9="+AV"),-18,IF(VLOOKUP($AJ9,AbilityT[],2,FALSE)="General",-6*VLOOKUP($E9,TeamT[],11,FALSE),IF(VLOOKUP($AJ9,AbilityT[],2,FALSE)="Agility",-6*VLOOKUP($E9,TeamT[],12,FALSE),IF(VLOOKUP($AJ9,AbilityT[],2,FALSE)="Strength",-6*VLOOKUP($E9,TeamT[],13,FALSE),IF(VLOOKUP($AJ9,AbilityT[],2,FALSE)="Passing",-6*VLOOKUP($E9,TeamT[],14,FALSE),IF(VLOOKUP($AJ9,AbilityT[],2,FALSE)="Mutation",-6*VLOOKUP($E9,TeamT[],15,FALSE),IF(VLOOKUP($AJ9,AbilityT[],2,FALSE)="General_R",-3*VLOOKUP($E9,TeamT[],11,FALSE),IF(VLOOKUP($AJ9,AbilityT[],2,FALSE)="Agility_R",-3*VLOOKUP($E9,TeamT[],12,FALSE),IF(VLOOKUP($AJ9,AbilityT[],2,FALSE)="Strength_R",-3*VLOOKUP($E9,TeamT[],13,FALSE),IF(VLOOKUP($AJ9,AbilityT[],2,FALSE)="Passing_R",-3*VLOOKUP($E9,TeamT[],14,FALSE),IF(VLOOKUP($AJ9,AbilityT[],2,FALSE)="Mutation_R",-3*VLOOKUP($E9,TeamT[],15,FALSE),"ERROR")))))))))))+IF($AK9=0,0,IF(OR($AK9="+MA",$AK9="+ST",$AK9="+AG",$AK9="+PA",$AK9="+AV"),-20,IF(VLOOKUP($AK9,AbilityT[],2,FALSE)="General",IF(VLOOKUP($E9,TeamT[],11,FALSE)=1,-8*VLOOKUP($E9,TeamT[],11,FALSE),-7*VLOOKUP($E9,TeamT[],11,FALSE)),IF(VLOOKUP($AK9,AbilityT[],2,FALSE)="Agility",IF(VLOOKUP($E9,TeamT[],12,FALSE)=1,-8*VLOOKUP($E9,TeamT[],12,FALSE),-7*VLOOKUP($E9,TeamT[],12,FALSE)),IF(VLOOKUP($AK9,AbilityT[],2,FALSE)="Strength",IF(VLOOKUP($E9,TeamT[],13,FALSE)=1,-8*VLOOKUP($E9,TeamT[],13,FALSE),-7*VLOOKUP($E9,TeamT[],13,FALSE)),IF(VLOOKUP($AK9,AbilityT[],2,FALSE)="Passing",IF(VLOOKUP($E9,TeamT[],14,FALSE)=1,-8*VLOOKUP($E9,TeamT[],14,FALSE),-7*VLOOKUP($E9,TeamT[],14,FALSE)),IF(VLOOKUP($AK9,AbilityT[],2,FALSE)="Mutation",IF(VLOOKUP($E9,TeamT[],15,FALSE)=1,-8*VLOOKUP($E9,TeamT[],15,FALSE),-7*VLOOKUP($E9,TeamT[],15,FALSE)),IF(VLOOKUP($AK9,AbilityT[],2,FALSE)="General_R",-4*VLOOKUP($E9,TeamT[],11,FALSE),IF(VLOOKUP($AK9,AbilityT[],2,FALSE)="Agility_R",-4*VLOOKUP($E9,TeamT[],12,FALSE),IF(VLOOKUP($AK9,AbilityT[],2,FALSE)="Strength_R",-4*VLOOKUP($E9,TeamT[],13,FALSE),IF(VLOOKUP($AK9,AbilityT[],2,FALSE)="Passing_R",-4*VLOOKUP($E9,TeamT[],14,FALSE),IF(VLOOKUP($AK9,AbilityT[],2,FALSE)="Mutation_R",-4*VLOOKUP($E9,TeamT[],15,FALSE),"ERROR"))))))))))))+IF($AL9=0,0,IF(OR($AL9="+MA",$AL9="+ST",$AL9="+AG",$AL9="+PA",$AL9="+AV"),-24,IF(VLOOKUP($AL9,AbilityT[],2,FALSE)="General",IF(VLOOKUP($E9,TeamT[],11,FALSE)=1,-12*VLOOKUP($E9,TeamT[],11,FALSE),-9*VLOOKUP($E9,TeamT[],11,FALSE)),IF(VLOOKUP($AL9,AbilityT[],2,FALSE)="Agility",IF(VLOOKUP($E9,TeamT[],12,FALSE)=1,-12*VLOOKUP($E9,TeamT[],12,FALSE),-9*VLOOKUP($E9,TeamT[],12,FALSE)),IF(VLOOKUP($AL9,AbilityT[],2,FALSE)="Strength",IF(VLOOKUP($E9,TeamT[],13,FALSE)=1,-12*VLOOKUP($E9,TeamT[],13,FALSE),-9*VLOOKUP($E9,TeamT[],13,FALSE)),IF(VLOOKUP($AL9,AbilityT[],2,FALSE)="Passing",IF(VLOOKUP($E9,TeamT[],14,FALSE)=1,-12*VLOOKUP($E9,TeamT[],14,FALSE),-9*VLOOKUP($E9,TeamT[],14,FALSE)),IF(VLOOKUP($AL9,AbilityT[],2,FALSE)="Mutation",IF(VLOOKUP($E9,TeamT[],15,FALSE)=1,-12*VLOOKUP($E9,TeamT[],15,FALSE),-9*VLOOKUP($E9,TeamT[],15,FALSE)),IF(VLOOKUP($AL9,AbilityT[],2,FALSE)="General_R",-6*VLOOKUP($E9,TeamT[],11,FALSE),IF(VLOOKUP($AL9,AbilityT[],2,FALSE)="Agility_R",-6*VLOOKUP($E9,TeamT[],12,FALSE),IF(VLOOKUP($AL9,AbilityT[],2,FALSE)="Strength_R",-6*VLOOKUP($E9,TeamT[],13,FALSE),IF(VLOOKUP($AL9,AbilityT[],2,FALSE)="Passing_R",-6*VLOOKUP($E9,TeamT[],14,FALSE),IF(VLOOKUP($AL9,AbilityT[],2,FALSE)="Mutation_R",-6*VLOOKUP($E9,TeamT[],15,FALSE),"ERROR"))))))))))))+IF($AM9=0,0,IF(OR($AM9="+MA",$AM9="+ST",$AM9="+AG",$AM9="+PA",$AM9="+AV"),-28,IF(VLOOKUP($AM9,AbilityT[],2,FALSE)="General",IF(VLOOKUP($E9,TeamT[],11,FALSE)=1,-16*VLOOKUP($E9,TeamT[],11,FALSE),-11*VLOOKUP($E9,TeamT[],11,FALSE)),IF(VLOOKUP($AM9,AbilityT[],2,FALSE)="Agility",IF(VLOOKUP($E9,TeamT[],12,FALSE)=1,-16*VLOOKUP($E9,TeamT[],12,FALSE),-11*VLOOKUP($E9,TeamT[],12,FALSE)),IF(VLOOKUP($AM9,AbilityT[],2,FALSE)="Strength",IF(VLOOKUP($E9,TeamT[],13,FALSE)=1,-16*VLOOKUP($E9,TeamT[],13,FALSE),-11*VLOOKUP($E9,TeamT[],13,FALSE)),IF(VLOOKUP($AM9,AbilityT[],2,FALSE)="Passing",IF(VLOOKUP($E9,TeamT[],14,FALSE)=1,-16*VLOOKUP($E9,TeamT[],14,FALSE),-11*VLOOKUP($E9,TeamT[],14,FALSE)),IF(VLOOKUP($AM9,AbilityT[],2,FALSE)="Mutation",IF(VLOOKUP($E9,TeamT[],15,FALSE)=1,-16*VLOOKUP($E9,TeamT[],15,FALSE),-11*VLOOKUP($E9,TeamT[],15,FALSE)),IF(VLOOKUP($AM9,AbilityT[],2,FALSE)="General_R",-8*VLOOKUP($E9,TeamT[],11,FALSE),IF(VLOOKUP($AM9,AbilityT[],2,FALSE)="Agility_R",-8*VLOOKUP($E9,TeamT[],12,FALSE),IF(VLOOKUP($AM9,AbilityT[],2,FALSE)="Strength_R",-8*VLOOKUP($E9,TeamT[],13,FALSE),IF(VLOOKUP($AM9,AbilityT[],2,FALSE)="Passing_R",-8*VLOOKUP($E9,TeamT[],14,FALSE),IF(VLOOKUP($AM9,AbilityT[],2,FALSE)="Mutation_R",-8*VLOOKUP($E9,TeamT[],15,FALSE),"ERROR"))))))))))))+IF($AN9=0,0,IF(OR($AN9="+MA",$AN9="+ST",$AN9="+AG",$AN9="+PA",$AN9="+AV"),-32,IF(VLOOKUP($AN9,AbilityT[],2,FALSE)="General",IF(VLOOKUP($E9,TeamT[],11,FALSE)=1,-20*VLOOKUP($E9,TeamT[],11,FALSE),-13*VLOOKUP($E9,TeamT[],11,FALSE)),IF(VLOOKUP($AN9,AbilityT[],2,FALSE)="Agility",IF(VLOOKUP($E9,TeamT[],12,FALSE)=1,-20*VLOOKUP($E9,TeamT[],12,FALSE),-13*VLOOKUP($E9,TeamT[],12,FALSE)),IF(VLOOKUP($AN9,AbilityT[],2,FALSE)="Strength",IF(VLOOKUP($E9,TeamT[],13,FALSE)=1,-20*VLOOKUP($E9,TeamT[],13,FALSE),-13*VLOOKUP($E9,TeamT[],13,FALSE)),IF(VLOOKUP($AN9,AbilityT[],2,FALSE)="Passing",IF(VLOOKUP($E9,TeamT[],14,FALSE)=1,-20*VLOOKUP($E9,TeamT[],14,FALSE),-13*VLOOKUP($E9,TeamT[],14,FALSE)),IF(VLOOKUP($AN9,AbilityT[],2,FALSE)="Mutation",IF(VLOOKUP($E9,TeamT[],15,FALSE)=1,-20*VLOOKUP($E9,TeamT[],15,FALSE),-13*VLOOKUP($E9,TeamT[],15,FALSE)),IF(VLOOKUP($AN9,AbilityT[],2,FALSE)="General_R",-10*VLOOKUP($E9,TeamT[],11,FALSE),IF(VLOOKUP($AN9,AbilityT[],2,FALSE)="Agility_R",-10*VLOOKUP($E9,TeamT[],12,FALSE),IF(VLOOKUP($AN9,AbilityT[],2,FALSE)="Strength_R",-10*VLOOKUP($E9,TeamT[],13,FALSE),IF(VLOOKUP($AN9,AbilityT[],2,FALSE)="Passing_R",-10*VLOOKUP($E9,TeamT[],14,FALSE),IF(VLOOKUP($AN9,AbilityT[],2,FALSE)="Mutation_R",-10*VLOOKUP($E9,TeamT[],15,FALSE),"ERROR"))))))))))))+IF($AO9=0,0,IF(OR($AO9="+MA",$AO9="+ST",$AO9="+AG",$AO9="+PA",$AO9="+AV"),-50,IF(VLOOKUP($AO9,AbilityT[],2,FALSE)="General",IF(VLOOKUP($E9,TeamT[],11,FALSE)=1,-30*VLOOKUP($E9,TeamT[],11,FALSE),-20*VLOOKUP($E9,TeamT[],11,FALSE)),IF(VLOOKUP($AO9,AbilityT[],2,FALSE)="Agility",IF(VLOOKUP($E9,TeamT[],12,FALSE)=1,-30*VLOOKUP($E9,TeamT[],12,FALSE),-20*VLOOKUP($E9,TeamT[],12,FALSE)),IF(VLOOKUP($AO9,AbilityT[],2,FALSE)="Strength",IF(VLOOKUP($E9,TeamT[],13,FALSE)=1,-30*VLOOKUP($E9,TeamT[],13,FALSE),-20*VLOOKUP($E9,TeamT[],13,FALSE)),IF(VLOOKUP($AO9,AbilityT[],2,FALSE)="Passing",IF(VLOOKUP($E9,TeamT[],14,FALSE)=1,-30*VLOOKUP($E9,TeamT[],14,FALSE),-20*VLOOKUP($E9,TeamT[],14,FALSE)),IF(VLOOKUP($AO9,AbilityT[],2,FALSE)="Mutation",IF(VLOOKUP($E9,TeamT[],15,FALSE)=1,-30*VLOOKUP($E9,TeamT[],15,FALSE),-20*VLOOKUP($E9,TeamT[],15,FALSE)),IF(VLOOKUP($AO9,AbilityT[],2,FALSE)="General_R",-15*VLOOKUP($E9,TeamT[],11,FALSE),IF(VLOOKUP($AO9,AbilityT[],2,FALSE)="Agility_R",-15*VLOOKUP($E9,TeamT[],12,FALSE),IF(VLOOKUP($AO9,AbilityT[],2,FALSE)="Strength_R",-15*VLOOKUP($E9,TeamT[],13,FALSE),IF(VLOOKUP($AO9,AbilityT[],2,FALSE)="Passing_R",-15*VLOOKUP($E9,TeamT[],14,FALSE),IF(VLOOKUP($AO9,AbilityT[],2,FALSE)="Mutation_R",-15*VLOOKUP($E9,TeamT[],15,FALSE),"ERROR")))))))))))))+IF($AA9&lt;=5,-6*$AA9,-6*$AA9-4))</f>
        <v>0</v>
      </c>
      <c r="AA9" s="188"/>
      <c r="AB9" s="115">
        <f>IF($E9="",0,VLOOKUP($E9,TeamT[],3,FALSE)+IF($O$28="Tournament Setup",0,IF($AJ9="",0,IF($AJ9="+AV",10000,IF(OR($AJ9="+MA",$AJ9="+PA"),20000,IF($AJ9="+AG",40000,IF($AJ9="+ST",80000,20000*IF(VLOOKUP($AJ9,AbilityT[],2,FALSE)="General",VLOOKUP($E9,TeamT[],11,FALSE),IF(VLOOKUP($AJ9,AbilityT[],2,FALSE)="Agility",VLOOKUP($E9,TeamT[],12,FALSE),IF(VLOOKUP($AJ9,AbilityT[],2,FALSE)="Strength",VLOOKUP($E9,TeamT[],13,FALSE),IF(VLOOKUP($AJ9,AbilityT[],2,FALSE)="Passing",VLOOKUP($E9,TeamT[],14,FALSE),IF(VLOOKUP($AJ9,AbilityT[],2,FALSE)="Mutation",VLOOKUP($E9,TeamT[],15,FALSE),IF(VLOOKUP($AJ9,AbilityT[],2,FALSE)="General_R",0.5*VLOOKUP($E9,TeamT[],11,FALSE),IF(VLOOKUP($AJ9,AbilityT[],2,FALSE)="Agility_R",0.5*VLOOKUP($E9,TeamT[],12,FALSE),IF(VLOOKUP($AJ9,AbilityT[],2,FALSE)="Strength_R",0.5*VLOOKUP($E9,TeamT[],13,FALSE),IF(VLOOKUP($AJ9,AbilityT[],2,FALSE)="Passing_R",0.5*VLOOKUP($E9,TeamT[],14,FALSE),IF(VLOOKUP($AJ9,AbilityT[],2,FALSE)="Mutation_R",0.5*VLOOKUP($E9,TeamT[],15,FALSE),"ERROR")))))))))))))))+IF($AK9="",0,IF($AK9="+AV",10000,IF(OR($AK9="+MA",$AK9="+PA"),20000,IF($AK9="+AG",40000,IF($AK9="+ST",80000,20000*IF(VLOOKUP($AK9,AbilityT[],2,FALSE)="General",VLOOKUP($E9,TeamT[],11,FALSE),IF(VLOOKUP($AK9,AbilityT[],2,FALSE)="Agility",VLOOKUP($E9,TeamT[],12,FALSE),IF(VLOOKUP($AK9,AbilityT[],2,FALSE)="Strength",VLOOKUP($E9,TeamT[],13,FALSE),IF(VLOOKUP($AK9,AbilityT[],2,FALSE)="Passing",VLOOKUP($E9,TeamT[],14,FALSE),IF(VLOOKUP($AK9,AbilityT[],2,FALSE)="Mutation",VLOOKUP($E9,TeamT[],15,FALSE),IF(VLOOKUP($AK9,AbilityT[],2,FALSE)="General_R",0.5*VLOOKUP($E9,TeamT[],11,FALSE),IF(VLOOKUP($AK9,AbilityT[],2,FALSE)="Agility_R",0.5*VLOOKUP($E9,TeamT[],12,FALSE),IF(VLOOKUP($AK9,AbilityT[],2,FALSE)="Strength_R",0.5*VLOOKUP($E9,TeamT[],13,FALSE),IF(VLOOKUP($AK9,AbilityT[],2,FALSE)="Passing_R",0.5*VLOOKUP($E9,TeamT[],14,FALSE),IF(VLOOKUP($AK9,AbilityT[],2,FALSE)="Mutation_R",0.5*VLOOKUP($E9,TeamT[],15,FALSE),"ERROR")))))))))))))))+IF($AL9="",0,IF($AL9="+AV",10000,IF(OR($AL9="+MA",$AL9="+PA"),20000,IF($AL9="+AG",40000,IF($AL9="+ST",80000,20000*IF(VLOOKUP($AL9,AbilityT[],2,FALSE)="General",VLOOKUP($E9,TeamT[],11,FALSE),IF(VLOOKUP($AL9,AbilityT[],2,FALSE)="Agility",VLOOKUP($E9,TeamT[],12,FALSE),IF(VLOOKUP($AL9,AbilityT[],2,FALSE)="Strength",VLOOKUP($E9,TeamT[],13,FALSE),IF(VLOOKUP($AL9,AbilityT[],2,FALSE)="Passing",VLOOKUP($E9,TeamT[],14,FALSE),IF(VLOOKUP($AL9,AbilityT[],2,FALSE)="Mutation",VLOOKUP($E9,TeamT[],15,FALSE),IF(VLOOKUP($AL9,AbilityT[],2,FALSE)="General_R",0.5*VLOOKUP($E9,TeamT[],11,FALSE),IF(VLOOKUP($AL9,AbilityT[],2,FALSE)="Agility_R",0.5*VLOOKUP($E9,TeamT[],12,FALSE),IF(VLOOKUP($AL9,AbilityT[],2,FALSE)="Strength_R",0.5*VLOOKUP($E9,TeamT[],13,FALSE),IF(VLOOKUP($AL9,AbilityT[],2,FALSE)="Passing_R",0.5*VLOOKUP($E9,TeamT[],14,FALSE),IF(VLOOKUP($AL9,AbilityT[],2,FALSE)="Mutation_R",0.5*VLOOKUP($E9,TeamT[],15,FALSE),"ERROR")))))))))))))))+IF($AM9="",0,IF($AM9="+AV",10000,IF(OR($AM9="+MA",$AM9="+PA"),20000,IF($AM9="+AG",40000,IF($AM9="+ST",80000,20000*IF(VLOOKUP($AM9,AbilityT[],2,FALSE)="General",VLOOKUP($E9,TeamT[],11,FALSE),IF(VLOOKUP($AM9,AbilityT[],2,FALSE)="Agility",VLOOKUP($E9,TeamT[],12,FALSE),IF(VLOOKUP($AM9,AbilityT[],2,FALSE)="Strength",VLOOKUP($E9,TeamT[],13,FALSE),IF(VLOOKUP($AM9,AbilityT[],2,FALSE)="Passing",VLOOKUP($E9,TeamT[],14,FALSE),IF(VLOOKUP($AM9,AbilityT[],2,FALSE)="Mutation",VLOOKUP($E9,TeamT[],15,FALSE),IF(VLOOKUP($AM9,AbilityT[],2,FALSE)="General_R",0.5*VLOOKUP($E9,TeamT[],11,FALSE),IF(VLOOKUP($AM9,AbilityT[],2,FALSE)="Agility_R",0.5*VLOOKUP($E9,TeamT[],12,FALSE),IF(VLOOKUP($AM9,AbilityT[],2,FALSE)="Strength_R",0.5*VLOOKUP($E9,TeamT[],13,FALSE),IF(VLOOKUP($AM9,AbilityT[],2,FALSE)="Passing_R",0.5*VLOOKUP($E9,TeamT[],14,FALSE),IF(VLOOKUP($AM9,AbilityT[],2,FALSE)="Mutation_R",0.5*VLOOKUP($E9,TeamT[],15,FALSE),"ERROR")))))))))))))))+IF($AN9="",0,IF($AN9="+AV",10000,IF(OR($AN9="+MA",$AN9="+PA"),20000,IF($AN9="+AG",40000,IF($AN9="+ST",80000,20000*IF(VLOOKUP($AN9,AbilityT[],2,FALSE)="General",VLOOKUP($E9,TeamT[],11,FALSE),IF(VLOOKUP($AN9,AbilityT[],2,FALSE)="Agility",VLOOKUP($E9,TeamT[],12,FALSE),IF(VLOOKUP($AN9,AbilityT[],2,FALSE)="Strength",VLOOKUP($E9,TeamT[],13,FALSE),IF(VLOOKUP($AN9,AbilityT[],2,FALSE)="Passing",VLOOKUP($E9,TeamT[],14,FALSE),IF(VLOOKUP($AN9,AbilityT[],2,FALSE)="Mutation",VLOOKUP($E9,TeamT[],15,FALSE),IF(VLOOKUP($AN9,AbilityT[],2,FALSE)="General_R",0.5*VLOOKUP($E9,TeamT[],11,FALSE),IF(VLOOKUP($AN9,AbilityT[],2,FALSE)="Agility_R",0.5*VLOOKUP($E9,TeamT[],12,FALSE),IF(VLOOKUP($AN9,AbilityT[],2,FALSE)="Strength_R",0.5*VLOOKUP($E9,TeamT[],13,FALSE),IF(VLOOKUP($AN9,AbilityT[],2,FALSE)="Passing_R",0.5*VLOOKUP($E9,TeamT[],14,FALSE),IF(VLOOKUP($AN9,AbilityT[],2,FALSE)="Mutation_R",0.5*VLOOKUP($E9,TeamT[],15,FALSE),"ERROR")))))))))))))))+IF($AO9="",0,IF($AO9="+AV",10000,IF(OR($AO9="+MA",$AO9="+PA"),20000,IF($AO9="+AG",40000,IF($AO9="+ST",80000,20000*IF(VLOOKUP($AO9,AbilityT[],2,FALSE)="General",VLOOKUP($E9,TeamT[],11,FALSE),IF(VLOOKUP($AO9,AbilityT[],2,FALSE)="Agility",VLOOKUP($E9,TeamT[],12,FALSE),IF(VLOOKUP($AO9,AbilityT[],2,FALSE)="Strength",VLOOKUP($E9,TeamT[],13,FALSE),IF(VLOOKUP($AO9,AbilityT[],2,FALSE)="Passing",VLOOKUP($E9,TeamT[],14,FALSE),IF(VLOOKUP($AO9,AbilityT[],2,FALSE)="Mutation",VLOOKUP($E9,TeamT[],15,FALSE),IF(VLOOKUP($AO9,AbilityT[],2,FALSE)="General_R",0.5*VLOOKUP($E9,TeamT[],11,FALSE),IF(VLOOKUP($AO9,AbilityT[],2,FALSE)="Agility_R",0.5*VLOOKUP($E9,TeamT[],12,FALSE),IF(VLOOKUP($AO9,AbilityT[],2,FALSE)="Strength_R",0.5*VLOOKUP($E9,TeamT[],13,FALSE),IF(VLOOKUP($AO9,AbilityT[],2,FALSE)="Passing_R",0.5*VLOOKUP($E9,TeamT[],14,FALSE),IF(VLOOKUP($AO9,AbilityT[],2,FALSE)="Mutation_R",0.5*VLOOKUP($E9,TeamT[],15,FALSE),"ERROR"))))))))))))))))+$AC9)</f>
        <v>0</v>
      </c>
      <c r="AC9" s="190"/>
      <c r="AD9" s="193"/>
      <c r="AE9" s="119"/>
      <c r="AF9" s="120"/>
      <c r="AG9" s="120"/>
      <c r="AH9" s="120"/>
      <c r="AI9" s="121"/>
      <c r="AJ9" s="118"/>
      <c r="AK9" s="118"/>
      <c r="AL9" s="118"/>
      <c r="AM9" s="118"/>
      <c r="AN9" s="118"/>
      <c r="AO9" s="118"/>
      <c r="AP9" s="199"/>
      <c r="BB9" s="3" t="s">
        <v>571</v>
      </c>
      <c r="BC9" s="1" t="e">
        <f>VLOOKUP($E9,TeamT[],5,FALSE)</f>
        <v>#N/A</v>
      </c>
      <c r="BD9" s="1" t="e">
        <f>VLOOKUP($E9,TeamT[],6,FALSE)</f>
        <v>#N/A</v>
      </c>
      <c r="BE9" s="1" t="e">
        <f>VLOOKUP($E9,TeamT[],19,FALSE)</f>
        <v>#N/A</v>
      </c>
      <c r="BF9" s="1" t="e">
        <f>VLOOKUP($E9,TeamT[],20,FALSE)</f>
        <v>#N/A</v>
      </c>
      <c r="BG9" s="1" t="e">
        <f>VLOOKUP($E9,TeamT[],21,FALSE)</f>
        <v>#N/A</v>
      </c>
    </row>
    <row r="10" spans="2:59 1030:1031" ht="34.9" customHeight="1" thickBot="1" x14ac:dyDescent="0.2">
      <c r="B10" s="180">
        <v>6</v>
      </c>
      <c r="C10" s="110"/>
      <c r="D10" s="70">
        <f t="shared" si="1"/>
        <v>0</v>
      </c>
      <c r="E10" s="264"/>
      <c r="F10" s="264"/>
      <c r="G10" s="264"/>
      <c r="H10" s="72" t="str">
        <f>IF($E10&lt;&gt;"",VLOOKUP(E10,TeamT[],4,FALSE),"")</f>
        <v/>
      </c>
      <c r="I10" s="229" t="str">
        <f>IF($E10="","",IF(VLOOKUP($E10,TeamT[],5,FALSE)+COUNTIF($AJ10:$AO10,"=+MA")+$AE10&gt;9,9,IF(VLOOKUP($E10,TeamT[],5,FALSE)+COUNTIF($AJ10:$AO10,"=+MA")+$AE10&lt;1,1,VLOOKUP($E10,TeamT[],5,FALSE)+COUNTIF($AJ10:$AO10,"=+MA")+$AE10)))</f>
        <v/>
      </c>
      <c r="J10" s="230" t="str">
        <f>IF($E10="","",IF(VLOOKUP($E10,TeamT[],6,FALSE)+COUNTIF($AJ10:$AO10,"=+ST")+$AF10&gt;8,8,IF(VLOOKUP($E10,TeamT[],6,FALSE)+COUNTIF($AJ10:$AO10,"=+ST")+$AF10&lt;1,1,VLOOKUP($E10,TeamT[],6,FALSE)+COUNTIF($AJ10:$AO10,"=+ST")+$AF10)))</f>
        <v/>
      </c>
      <c r="K10" s="231" t="str">
        <f>IF($E10="","",IF(VLOOKUP($E10,TeamT[],19,FALSE)-COUNTIF($AJ10:$AO10,"=+AG")-$AG10&gt;6,6,IF(VLOOKUP($E10,TeamT[],19,FALSE)-COUNTIF($AJ10:$AO10,"=+AG")-$AG10&lt;1,1,VLOOKUP($E10,TeamT[],19,FALSE)-COUNTIF($AJ10:$AO10,"=+AG")-$AG10)))</f>
        <v/>
      </c>
      <c r="L10" s="231" t="str">
        <f>IF($E10="","",IF(VLOOKUP($E10,TeamT[],20,FALSE)="-","-",IF(VLOOKUP($E10,TeamT[],20,FALSE)-COUNTIF($AJ10:$AO10,"=+PA")-$AH10&gt;6,6,IF(VLOOKUP($E10,TeamT[],20,FALSE)-COUNTIF($AJ10:$AO10,"=+PA")-$AH10&lt;1,1,VLOOKUP($E10,TeamT[],20,FALSE)-COUNTIF($AJ10:$AO10,"=+PA")-$AH10))))</f>
        <v/>
      </c>
      <c r="M10" s="231" t="str">
        <f>IF($E10="","",IF(VLOOKUP($E10,TeamT[],21,FALSE)+COUNTIF($AJ10:$AO10,"=+AV")+$AI10&gt;11,11,IF(VLOOKUP($E10,TeamT[],21,FALSE)+COUNTIF($AJ10:$AO10,"=+AV")+$AI10&lt;3,3,VLOOKUP($E10,TeamT[],21,FALSE)+COUNTIF($AJ10:$AO10,"=+AV")+$AI10)))</f>
        <v/>
      </c>
      <c r="N10" s="225" t="str">
        <f>IF($E10="","",IF(COUNTIF($E$5:$E$20,$E10)&gt;VLOOKUP($E10,TeamT[],4,FALSE),"ERROR! Too many Player wit same role",(IF(Reces!$BR9&lt;&gt;0,"ERROR! Too many Big Guys!",(IF(Reces!$BT9&lt;&gt;0,"ERROR! Too many Star Players!",VLOOKUP($E10,TeamT[],10,FALSE)))))))</f>
        <v/>
      </c>
      <c r="O10" s="106" t="str">
        <f t="shared" si="2"/>
        <v/>
      </c>
      <c r="P10" s="254"/>
      <c r="Q10" s="254"/>
      <c r="R10" s="183"/>
      <c r="S10" s="183"/>
      <c r="T10" s="183"/>
      <c r="U10" s="183"/>
      <c r="V10" s="183"/>
      <c r="W10" s="183"/>
      <c r="X10" s="184"/>
      <c r="Y10" s="117">
        <f t="shared" si="0"/>
        <v>0</v>
      </c>
      <c r="Z10" s="172">
        <f>IF(LEFT($E10,1)="*","Star",$Y10+IF($AJ10=0,0,IF(OR($AJ10="+MA",$AJ10="+ST",$AJ10="+AG",$AJ10="+PA",$AJ10="+AV"),-18,IF(VLOOKUP($AJ10,AbilityT[],2,FALSE)="General",-6*VLOOKUP($E10,TeamT[],11,FALSE),IF(VLOOKUP($AJ10,AbilityT[],2,FALSE)="Agility",-6*VLOOKUP($E10,TeamT[],12,FALSE),IF(VLOOKUP($AJ10,AbilityT[],2,FALSE)="Strength",-6*VLOOKUP($E10,TeamT[],13,FALSE),IF(VLOOKUP($AJ10,AbilityT[],2,FALSE)="Passing",-6*VLOOKUP($E10,TeamT[],14,FALSE),IF(VLOOKUP($AJ10,AbilityT[],2,FALSE)="Mutation",-6*VLOOKUP($E10,TeamT[],15,FALSE),IF(VLOOKUP($AJ10,AbilityT[],2,FALSE)="General_R",-3*VLOOKUP($E10,TeamT[],11,FALSE),IF(VLOOKUP($AJ10,AbilityT[],2,FALSE)="Agility_R",-3*VLOOKUP($E10,TeamT[],12,FALSE),IF(VLOOKUP($AJ10,AbilityT[],2,FALSE)="Strength_R",-3*VLOOKUP($E10,TeamT[],13,FALSE),IF(VLOOKUP($AJ10,AbilityT[],2,FALSE)="Passing_R",-3*VLOOKUP($E10,TeamT[],14,FALSE),IF(VLOOKUP($AJ10,AbilityT[],2,FALSE)="Mutation_R",-3*VLOOKUP($E10,TeamT[],15,FALSE),"ERROR")))))))))))+IF($AK10=0,0,IF(OR($AK10="+MA",$AK10="+ST",$AK10="+AG",$AK10="+PA",$AK10="+AV"),-20,IF(VLOOKUP($AK10,AbilityT[],2,FALSE)="General",IF(VLOOKUP($E10,TeamT[],11,FALSE)=1,-8*VLOOKUP($E10,TeamT[],11,FALSE),-7*VLOOKUP($E10,TeamT[],11,FALSE)),IF(VLOOKUP($AK10,AbilityT[],2,FALSE)="Agility",IF(VLOOKUP($E10,TeamT[],12,FALSE)=1,-8*VLOOKUP($E10,TeamT[],12,FALSE),-7*VLOOKUP($E10,TeamT[],12,FALSE)),IF(VLOOKUP($AK10,AbilityT[],2,FALSE)="Strength",IF(VLOOKUP($E10,TeamT[],13,FALSE)=1,-8*VLOOKUP($E10,TeamT[],13,FALSE),-7*VLOOKUP($E10,TeamT[],13,FALSE)),IF(VLOOKUP($AK10,AbilityT[],2,FALSE)="Passing",IF(VLOOKUP($E10,TeamT[],14,FALSE)=1,-8*VLOOKUP($E10,TeamT[],14,FALSE),-7*VLOOKUP($E10,TeamT[],14,FALSE)),IF(VLOOKUP($AK10,AbilityT[],2,FALSE)="Mutation",IF(VLOOKUP($E10,TeamT[],15,FALSE)=1,-8*VLOOKUP($E10,TeamT[],15,FALSE),-7*VLOOKUP($E10,TeamT[],15,FALSE)),IF(VLOOKUP($AK10,AbilityT[],2,FALSE)="General_R",-4*VLOOKUP($E10,TeamT[],11,FALSE),IF(VLOOKUP($AK10,AbilityT[],2,FALSE)="Agility_R",-4*VLOOKUP($E10,TeamT[],12,FALSE),IF(VLOOKUP($AK10,AbilityT[],2,FALSE)="Strength_R",-4*VLOOKUP($E10,TeamT[],13,FALSE),IF(VLOOKUP($AK10,AbilityT[],2,FALSE)="Passing_R",-4*VLOOKUP($E10,TeamT[],14,FALSE),IF(VLOOKUP($AK10,AbilityT[],2,FALSE)="Mutation_R",-4*VLOOKUP($E10,TeamT[],15,FALSE),"ERROR"))))))))))))+IF($AL10=0,0,IF(OR($AL10="+MA",$AL10="+ST",$AL10="+AG",$AL10="+PA",$AL10="+AV"),-24,IF(VLOOKUP($AL10,AbilityT[],2,FALSE)="General",IF(VLOOKUP($E10,TeamT[],11,FALSE)=1,-12*VLOOKUP($E10,TeamT[],11,FALSE),-9*VLOOKUP($E10,TeamT[],11,FALSE)),IF(VLOOKUP($AL10,AbilityT[],2,FALSE)="Agility",IF(VLOOKUP($E10,TeamT[],12,FALSE)=1,-12*VLOOKUP($E10,TeamT[],12,FALSE),-9*VLOOKUP($E10,TeamT[],12,FALSE)),IF(VLOOKUP($AL10,AbilityT[],2,FALSE)="Strength",IF(VLOOKUP($E10,TeamT[],13,FALSE)=1,-12*VLOOKUP($E10,TeamT[],13,FALSE),-9*VLOOKUP($E10,TeamT[],13,FALSE)),IF(VLOOKUP($AL10,AbilityT[],2,FALSE)="Passing",IF(VLOOKUP($E10,TeamT[],14,FALSE)=1,-12*VLOOKUP($E10,TeamT[],14,FALSE),-9*VLOOKUP($E10,TeamT[],14,FALSE)),IF(VLOOKUP($AL10,AbilityT[],2,FALSE)="Mutation",IF(VLOOKUP($E10,TeamT[],15,FALSE)=1,-12*VLOOKUP($E10,TeamT[],15,FALSE),-9*VLOOKUP($E10,TeamT[],15,FALSE)),IF(VLOOKUP($AL10,AbilityT[],2,FALSE)="General_R",-6*VLOOKUP($E10,TeamT[],11,FALSE),IF(VLOOKUP($AL10,AbilityT[],2,FALSE)="Agility_R",-6*VLOOKUP($E10,TeamT[],12,FALSE),IF(VLOOKUP($AL10,AbilityT[],2,FALSE)="Strength_R",-6*VLOOKUP($E10,TeamT[],13,FALSE),IF(VLOOKUP($AL10,AbilityT[],2,FALSE)="Passing_R",-6*VLOOKUP($E10,TeamT[],14,FALSE),IF(VLOOKUP($AL10,AbilityT[],2,FALSE)="Mutation_R",-6*VLOOKUP($E10,TeamT[],15,FALSE),"ERROR"))))))))))))+IF($AM10=0,0,IF(OR($AM10="+MA",$AM10="+ST",$AM10="+AG",$AM10="+PA",$AM10="+AV"),-28,IF(VLOOKUP($AM10,AbilityT[],2,FALSE)="General",IF(VLOOKUP($E10,TeamT[],11,FALSE)=1,-16*VLOOKUP($E10,TeamT[],11,FALSE),-11*VLOOKUP($E10,TeamT[],11,FALSE)),IF(VLOOKUP($AM10,AbilityT[],2,FALSE)="Agility",IF(VLOOKUP($E10,TeamT[],12,FALSE)=1,-16*VLOOKUP($E10,TeamT[],12,FALSE),-11*VLOOKUP($E10,TeamT[],12,FALSE)),IF(VLOOKUP($AM10,AbilityT[],2,FALSE)="Strength",IF(VLOOKUP($E10,TeamT[],13,FALSE)=1,-16*VLOOKUP($E10,TeamT[],13,FALSE),-11*VLOOKUP($E10,TeamT[],13,FALSE)),IF(VLOOKUP($AM10,AbilityT[],2,FALSE)="Passing",IF(VLOOKUP($E10,TeamT[],14,FALSE)=1,-16*VLOOKUP($E10,TeamT[],14,FALSE),-11*VLOOKUP($E10,TeamT[],14,FALSE)),IF(VLOOKUP($AM10,AbilityT[],2,FALSE)="Mutation",IF(VLOOKUP($E10,TeamT[],15,FALSE)=1,-16*VLOOKUP($E10,TeamT[],15,FALSE),-11*VLOOKUP($E10,TeamT[],15,FALSE)),IF(VLOOKUP($AM10,AbilityT[],2,FALSE)="General_R",-8*VLOOKUP($E10,TeamT[],11,FALSE),IF(VLOOKUP($AM10,AbilityT[],2,FALSE)="Agility_R",-8*VLOOKUP($E10,TeamT[],12,FALSE),IF(VLOOKUP($AM10,AbilityT[],2,FALSE)="Strength_R",-8*VLOOKUP($E10,TeamT[],13,FALSE),IF(VLOOKUP($AM10,AbilityT[],2,FALSE)="Passing_R",-8*VLOOKUP($E10,TeamT[],14,FALSE),IF(VLOOKUP($AM10,AbilityT[],2,FALSE)="Mutation_R",-8*VLOOKUP($E10,TeamT[],15,FALSE),"ERROR"))))))))))))+IF($AN10=0,0,IF(OR($AN10="+MA",$AN10="+ST",$AN10="+AG",$AN10="+PA",$AN10="+AV"),-32,IF(VLOOKUP($AN10,AbilityT[],2,FALSE)="General",IF(VLOOKUP($E10,TeamT[],11,FALSE)=1,-20*VLOOKUP($E10,TeamT[],11,FALSE),-13*VLOOKUP($E10,TeamT[],11,FALSE)),IF(VLOOKUP($AN10,AbilityT[],2,FALSE)="Agility",IF(VLOOKUP($E10,TeamT[],12,FALSE)=1,-20*VLOOKUP($E10,TeamT[],12,FALSE),-13*VLOOKUP($E10,TeamT[],12,FALSE)),IF(VLOOKUP($AN10,AbilityT[],2,FALSE)="Strength",IF(VLOOKUP($E10,TeamT[],13,FALSE)=1,-20*VLOOKUP($E10,TeamT[],13,FALSE),-13*VLOOKUP($E10,TeamT[],13,FALSE)),IF(VLOOKUP($AN10,AbilityT[],2,FALSE)="Passing",IF(VLOOKUP($E10,TeamT[],14,FALSE)=1,-20*VLOOKUP($E10,TeamT[],14,FALSE),-13*VLOOKUP($E10,TeamT[],14,FALSE)),IF(VLOOKUP($AN10,AbilityT[],2,FALSE)="Mutation",IF(VLOOKUP($E10,TeamT[],15,FALSE)=1,-20*VLOOKUP($E10,TeamT[],15,FALSE),-13*VLOOKUP($E10,TeamT[],15,FALSE)),IF(VLOOKUP($AN10,AbilityT[],2,FALSE)="General_R",-10*VLOOKUP($E10,TeamT[],11,FALSE),IF(VLOOKUP($AN10,AbilityT[],2,FALSE)="Agility_R",-10*VLOOKUP($E10,TeamT[],12,FALSE),IF(VLOOKUP($AN10,AbilityT[],2,FALSE)="Strength_R",-10*VLOOKUP($E10,TeamT[],13,FALSE),IF(VLOOKUP($AN10,AbilityT[],2,FALSE)="Passing_R",-10*VLOOKUP($E10,TeamT[],14,FALSE),IF(VLOOKUP($AN10,AbilityT[],2,FALSE)="Mutation_R",-10*VLOOKUP($E10,TeamT[],15,FALSE),"ERROR"))))))))))))+IF($AO10=0,0,IF(OR($AO10="+MA",$AO10="+ST",$AO10="+AG",$AO10="+PA",$AO10="+AV"),-50,IF(VLOOKUP($AO10,AbilityT[],2,FALSE)="General",IF(VLOOKUP($E10,TeamT[],11,FALSE)=1,-30*VLOOKUP($E10,TeamT[],11,FALSE),-20*VLOOKUP($E10,TeamT[],11,FALSE)),IF(VLOOKUP($AO10,AbilityT[],2,FALSE)="Agility",IF(VLOOKUP($E10,TeamT[],12,FALSE)=1,-30*VLOOKUP($E10,TeamT[],12,FALSE),-20*VLOOKUP($E10,TeamT[],12,FALSE)),IF(VLOOKUP($AO10,AbilityT[],2,FALSE)="Strength",IF(VLOOKUP($E10,TeamT[],13,FALSE)=1,-30*VLOOKUP($E10,TeamT[],13,FALSE),-20*VLOOKUP($E10,TeamT[],13,FALSE)),IF(VLOOKUP($AO10,AbilityT[],2,FALSE)="Passing",IF(VLOOKUP($E10,TeamT[],14,FALSE)=1,-30*VLOOKUP($E10,TeamT[],14,FALSE),-20*VLOOKUP($E10,TeamT[],14,FALSE)),IF(VLOOKUP($AO10,AbilityT[],2,FALSE)="Mutation",IF(VLOOKUP($E10,TeamT[],15,FALSE)=1,-30*VLOOKUP($E10,TeamT[],15,FALSE),-20*VLOOKUP($E10,TeamT[],15,FALSE)),IF(VLOOKUP($AO10,AbilityT[],2,FALSE)="General_R",-15*VLOOKUP($E10,TeamT[],11,FALSE),IF(VLOOKUP($AO10,AbilityT[],2,FALSE)="Agility_R",-15*VLOOKUP($E10,TeamT[],12,FALSE),IF(VLOOKUP($AO10,AbilityT[],2,FALSE)="Strength_R",-15*VLOOKUP($E10,TeamT[],13,FALSE),IF(VLOOKUP($AO10,AbilityT[],2,FALSE)="Passing_R",-15*VLOOKUP($E10,TeamT[],14,FALSE),IF(VLOOKUP($AO10,AbilityT[],2,FALSE)="Mutation_R",-15*VLOOKUP($E10,TeamT[],15,FALSE),"ERROR")))))))))))))+IF($AA10&lt;=5,-6*$AA10,-6*$AA10-4))</f>
        <v>0</v>
      </c>
      <c r="AA10" s="188"/>
      <c r="AB10" s="115">
        <f>IF($E10="",0,VLOOKUP($E10,TeamT[],3,FALSE)+IF($O$28="Tournament Setup",0,IF($AJ10="",0,IF($AJ10="+AV",10000,IF(OR($AJ10="+MA",$AJ10="+PA"),20000,IF($AJ10="+AG",40000,IF($AJ10="+ST",80000,20000*IF(VLOOKUP($AJ10,AbilityT[],2,FALSE)="General",VLOOKUP($E10,TeamT[],11,FALSE),IF(VLOOKUP($AJ10,AbilityT[],2,FALSE)="Agility",VLOOKUP($E10,TeamT[],12,FALSE),IF(VLOOKUP($AJ10,AbilityT[],2,FALSE)="Strength",VLOOKUP($E10,TeamT[],13,FALSE),IF(VLOOKUP($AJ10,AbilityT[],2,FALSE)="Passing",VLOOKUP($E10,TeamT[],14,FALSE),IF(VLOOKUP($AJ10,AbilityT[],2,FALSE)="Mutation",VLOOKUP($E10,TeamT[],15,FALSE),IF(VLOOKUP($AJ10,AbilityT[],2,FALSE)="General_R",0.5*VLOOKUP($E10,TeamT[],11,FALSE),IF(VLOOKUP($AJ10,AbilityT[],2,FALSE)="Agility_R",0.5*VLOOKUP($E10,TeamT[],12,FALSE),IF(VLOOKUP($AJ10,AbilityT[],2,FALSE)="Strength_R",0.5*VLOOKUP($E10,TeamT[],13,FALSE),IF(VLOOKUP($AJ10,AbilityT[],2,FALSE)="Passing_R",0.5*VLOOKUP($E10,TeamT[],14,FALSE),IF(VLOOKUP($AJ10,AbilityT[],2,FALSE)="Mutation_R",0.5*VLOOKUP($E10,TeamT[],15,FALSE),"ERROR")))))))))))))))+IF($AK10="",0,IF($AK10="+AV",10000,IF(OR($AK10="+MA",$AK10="+PA"),20000,IF($AK10="+AG",40000,IF($AK10="+ST",80000,20000*IF(VLOOKUP($AK10,AbilityT[],2,FALSE)="General",VLOOKUP($E10,TeamT[],11,FALSE),IF(VLOOKUP($AK10,AbilityT[],2,FALSE)="Agility",VLOOKUP($E10,TeamT[],12,FALSE),IF(VLOOKUP($AK10,AbilityT[],2,FALSE)="Strength",VLOOKUP($E10,TeamT[],13,FALSE),IF(VLOOKUP($AK10,AbilityT[],2,FALSE)="Passing",VLOOKUP($E10,TeamT[],14,FALSE),IF(VLOOKUP($AK10,AbilityT[],2,FALSE)="Mutation",VLOOKUP($E10,TeamT[],15,FALSE),IF(VLOOKUP($AK10,AbilityT[],2,FALSE)="General_R",0.5*VLOOKUP($E10,TeamT[],11,FALSE),IF(VLOOKUP($AK10,AbilityT[],2,FALSE)="Agility_R",0.5*VLOOKUP($E10,TeamT[],12,FALSE),IF(VLOOKUP($AK10,AbilityT[],2,FALSE)="Strength_R",0.5*VLOOKUP($E10,TeamT[],13,FALSE),IF(VLOOKUP($AK10,AbilityT[],2,FALSE)="Passing_R",0.5*VLOOKUP($E10,TeamT[],14,FALSE),IF(VLOOKUP($AK10,AbilityT[],2,FALSE)="Mutation_R",0.5*VLOOKUP($E10,TeamT[],15,FALSE),"ERROR")))))))))))))))+IF($AL10="",0,IF($AL10="+AV",10000,IF(OR($AL10="+MA",$AL10="+PA"),20000,IF($AL10="+AG",40000,IF($AL10="+ST",80000,20000*IF(VLOOKUP($AL10,AbilityT[],2,FALSE)="General",VLOOKUP($E10,TeamT[],11,FALSE),IF(VLOOKUP($AL10,AbilityT[],2,FALSE)="Agility",VLOOKUP($E10,TeamT[],12,FALSE),IF(VLOOKUP($AL10,AbilityT[],2,FALSE)="Strength",VLOOKUP($E10,TeamT[],13,FALSE),IF(VLOOKUP($AL10,AbilityT[],2,FALSE)="Passing",VLOOKUP($E10,TeamT[],14,FALSE),IF(VLOOKUP($AL10,AbilityT[],2,FALSE)="Mutation",VLOOKUP($E10,TeamT[],15,FALSE),IF(VLOOKUP($AL10,AbilityT[],2,FALSE)="General_R",0.5*VLOOKUP($E10,TeamT[],11,FALSE),IF(VLOOKUP($AL10,AbilityT[],2,FALSE)="Agility_R",0.5*VLOOKUP($E10,TeamT[],12,FALSE),IF(VLOOKUP($AL10,AbilityT[],2,FALSE)="Strength_R",0.5*VLOOKUP($E10,TeamT[],13,FALSE),IF(VLOOKUP($AL10,AbilityT[],2,FALSE)="Passing_R",0.5*VLOOKUP($E10,TeamT[],14,FALSE),IF(VLOOKUP($AL10,AbilityT[],2,FALSE)="Mutation_R",0.5*VLOOKUP($E10,TeamT[],15,FALSE),"ERROR")))))))))))))))+IF($AM10="",0,IF($AM10="+AV",10000,IF(OR($AM10="+MA",$AM10="+PA"),20000,IF($AM10="+AG",40000,IF($AM10="+ST",80000,20000*IF(VLOOKUP($AM10,AbilityT[],2,FALSE)="General",VLOOKUP($E10,TeamT[],11,FALSE),IF(VLOOKUP($AM10,AbilityT[],2,FALSE)="Agility",VLOOKUP($E10,TeamT[],12,FALSE),IF(VLOOKUP($AM10,AbilityT[],2,FALSE)="Strength",VLOOKUP($E10,TeamT[],13,FALSE),IF(VLOOKUP($AM10,AbilityT[],2,FALSE)="Passing",VLOOKUP($E10,TeamT[],14,FALSE),IF(VLOOKUP($AM10,AbilityT[],2,FALSE)="Mutation",VLOOKUP($E10,TeamT[],15,FALSE),IF(VLOOKUP($AM10,AbilityT[],2,FALSE)="General_R",0.5*VLOOKUP($E10,TeamT[],11,FALSE),IF(VLOOKUP($AM10,AbilityT[],2,FALSE)="Agility_R",0.5*VLOOKUP($E10,TeamT[],12,FALSE),IF(VLOOKUP($AM10,AbilityT[],2,FALSE)="Strength_R",0.5*VLOOKUP($E10,TeamT[],13,FALSE),IF(VLOOKUP($AM10,AbilityT[],2,FALSE)="Passing_R",0.5*VLOOKUP($E10,TeamT[],14,FALSE),IF(VLOOKUP($AM10,AbilityT[],2,FALSE)="Mutation_R",0.5*VLOOKUP($E10,TeamT[],15,FALSE),"ERROR")))))))))))))))+IF($AN10="",0,IF($AN10="+AV",10000,IF(OR($AN10="+MA",$AN10="+PA"),20000,IF($AN10="+AG",40000,IF($AN10="+ST",80000,20000*IF(VLOOKUP($AN10,AbilityT[],2,FALSE)="General",VLOOKUP($E10,TeamT[],11,FALSE),IF(VLOOKUP($AN10,AbilityT[],2,FALSE)="Agility",VLOOKUP($E10,TeamT[],12,FALSE),IF(VLOOKUP($AN10,AbilityT[],2,FALSE)="Strength",VLOOKUP($E10,TeamT[],13,FALSE),IF(VLOOKUP($AN10,AbilityT[],2,FALSE)="Passing",VLOOKUP($E10,TeamT[],14,FALSE),IF(VLOOKUP($AN10,AbilityT[],2,FALSE)="Mutation",VLOOKUP($E10,TeamT[],15,FALSE),IF(VLOOKUP($AN10,AbilityT[],2,FALSE)="General_R",0.5*VLOOKUP($E10,TeamT[],11,FALSE),IF(VLOOKUP($AN10,AbilityT[],2,FALSE)="Agility_R",0.5*VLOOKUP($E10,TeamT[],12,FALSE),IF(VLOOKUP($AN10,AbilityT[],2,FALSE)="Strength_R",0.5*VLOOKUP($E10,TeamT[],13,FALSE),IF(VLOOKUP($AN10,AbilityT[],2,FALSE)="Passing_R",0.5*VLOOKUP($E10,TeamT[],14,FALSE),IF(VLOOKUP($AN10,AbilityT[],2,FALSE)="Mutation_R",0.5*VLOOKUP($E10,TeamT[],15,FALSE),"ERROR")))))))))))))))+IF($AO10="",0,IF($AO10="+AV",10000,IF(OR($AO10="+MA",$AO10="+PA"),20000,IF($AO10="+AG",40000,IF($AO10="+ST",80000,20000*IF(VLOOKUP($AO10,AbilityT[],2,FALSE)="General",VLOOKUP($E10,TeamT[],11,FALSE),IF(VLOOKUP($AO10,AbilityT[],2,FALSE)="Agility",VLOOKUP($E10,TeamT[],12,FALSE),IF(VLOOKUP($AO10,AbilityT[],2,FALSE)="Strength",VLOOKUP($E10,TeamT[],13,FALSE),IF(VLOOKUP($AO10,AbilityT[],2,FALSE)="Passing",VLOOKUP($E10,TeamT[],14,FALSE),IF(VLOOKUP($AO10,AbilityT[],2,FALSE)="Mutation",VLOOKUP($E10,TeamT[],15,FALSE),IF(VLOOKUP($AO10,AbilityT[],2,FALSE)="General_R",0.5*VLOOKUP($E10,TeamT[],11,FALSE),IF(VLOOKUP($AO10,AbilityT[],2,FALSE)="Agility_R",0.5*VLOOKUP($E10,TeamT[],12,FALSE),IF(VLOOKUP($AO10,AbilityT[],2,FALSE)="Strength_R",0.5*VLOOKUP($E10,TeamT[],13,FALSE),IF(VLOOKUP($AO10,AbilityT[],2,FALSE)="Passing_R",0.5*VLOOKUP($E10,TeamT[],14,FALSE),IF(VLOOKUP($AO10,AbilityT[],2,FALSE)="Mutation_R",0.5*VLOOKUP($E10,TeamT[],15,FALSE),"ERROR"))))))))))))))))+$AC10)</f>
        <v>0</v>
      </c>
      <c r="AC10" s="190"/>
      <c r="AD10" s="193"/>
      <c r="AE10" s="119"/>
      <c r="AF10" s="120"/>
      <c r="AG10" s="120"/>
      <c r="AH10" s="120"/>
      <c r="AI10" s="121"/>
      <c r="AJ10" s="118"/>
      <c r="AK10" s="118"/>
      <c r="AL10" s="118"/>
      <c r="AM10" s="118"/>
      <c r="AN10" s="118"/>
      <c r="AO10" s="118"/>
      <c r="AP10" s="200"/>
      <c r="BB10" s="3" t="s">
        <v>572</v>
      </c>
      <c r="BC10" s="1" t="e">
        <f>VLOOKUP($E10,TeamT[],5,FALSE)</f>
        <v>#N/A</v>
      </c>
      <c r="BD10" s="1" t="e">
        <f>VLOOKUP($E10,TeamT[],6,FALSE)</f>
        <v>#N/A</v>
      </c>
      <c r="BE10" s="1" t="e">
        <f>VLOOKUP($E10,TeamT[],19,FALSE)</f>
        <v>#N/A</v>
      </c>
      <c r="BF10" s="1" t="e">
        <f>VLOOKUP($E10,TeamT[],20,FALSE)</f>
        <v>#N/A</v>
      </c>
      <c r="BG10" s="1" t="e">
        <f>VLOOKUP($E10,TeamT[],21,FALSE)</f>
        <v>#N/A</v>
      </c>
    </row>
    <row r="11" spans="2:59 1030:1031" ht="34.9" customHeight="1" thickBot="1" x14ac:dyDescent="0.2">
      <c r="B11" s="180">
        <v>7</v>
      </c>
      <c r="C11" s="110"/>
      <c r="D11" s="70">
        <f t="shared" si="1"/>
        <v>0</v>
      </c>
      <c r="E11" s="264"/>
      <c r="F11" s="264"/>
      <c r="G11" s="264"/>
      <c r="H11" s="72" t="str">
        <f>IF($E11&lt;&gt;"",VLOOKUP(E11,TeamT[],4,FALSE),"")</f>
        <v/>
      </c>
      <c r="I11" s="229" t="str">
        <f>IF($E11="","",IF(VLOOKUP($E11,TeamT[],5,FALSE)+COUNTIF($AJ11:$AO11,"=+MA")+$AE11&gt;9,9,IF(VLOOKUP($E11,TeamT[],5,FALSE)+COUNTIF($AJ11:$AO11,"=+MA")+$AE11&lt;1,1,VLOOKUP($E11,TeamT[],5,FALSE)+COUNTIF($AJ11:$AO11,"=+MA")+$AE11)))</f>
        <v/>
      </c>
      <c r="J11" s="230" t="str">
        <f>IF($E11="","",IF(VLOOKUP($E11,TeamT[],6,FALSE)+COUNTIF($AJ11:$AO11,"=+ST")+$AF11&gt;8,8,IF(VLOOKUP($E11,TeamT[],6,FALSE)+COUNTIF($AJ11:$AO11,"=+ST")+$AF11&lt;1,1,VLOOKUP($E11,TeamT[],6,FALSE)+COUNTIF($AJ11:$AO11,"=+ST")+$AF11)))</f>
        <v/>
      </c>
      <c r="K11" s="231" t="str">
        <f>IF($E11="","",IF(VLOOKUP($E11,TeamT[],19,FALSE)-COUNTIF($AJ11:$AO11,"=+AG")-$AG11&gt;6,6,IF(VLOOKUP($E11,TeamT[],19,FALSE)-COUNTIF($AJ11:$AO11,"=+AG")-$AG11&lt;1,1,VLOOKUP($E11,TeamT[],19,FALSE)-COUNTIF($AJ11:$AO11,"=+AG")-$AG11)))</f>
        <v/>
      </c>
      <c r="L11" s="231" t="str">
        <f>IF($E11="","",IF(VLOOKUP($E11,TeamT[],20,FALSE)="-","-",IF(VLOOKUP($E11,TeamT[],20,FALSE)-COUNTIF($AJ11:$AO11,"=+PA")-$AH11&gt;6,6,IF(VLOOKUP($E11,TeamT[],20,FALSE)-COUNTIF($AJ11:$AO11,"=+PA")-$AH11&lt;1,1,VLOOKUP($E11,TeamT[],20,FALSE)-COUNTIF($AJ11:$AO11,"=+PA")-$AH11))))</f>
        <v/>
      </c>
      <c r="M11" s="231" t="str">
        <f>IF($E11="","",IF(VLOOKUP($E11,TeamT[],21,FALSE)+COUNTIF($AJ11:$AO11,"=+AV")+$AI11&gt;11,11,IF(VLOOKUP($E11,TeamT[],21,FALSE)+COUNTIF($AJ11:$AO11,"=+AV")+$AI11&lt;3,3,VLOOKUP($E11,TeamT[],21,FALSE)+COUNTIF($AJ11:$AO11,"=+AV")+$AI11)))</f>
        <v/>
      </c>
      <c r="N11" s="225" t="str">
        <f>IF($E11="","",IF(COUNTIF($E$5:$E$20,$E11)&gt;VLOOKUP($E11,TeamT[],4,FALSE),"ERROR! Too many Player wit same role",(IF(Reces!$BR10&lt;&gt;0,"ERROR! Too many Big Guys!",(IF(Reces!$BT10&lt;&gt;0,"ERROR! Too many Star Players!",VLOOKUP($E11,TeamT[],10,FALSE)))))))</f>
        <v/>
      </c>
      <c r="O11" s="106" t="str">
        <f>CONCATENATE($AJ11,IF($AK11&lt;&gt;"",", ",""),$AK11,IF($AL11&lt;&gt;"",", ",""),$AL11,IF($AM11&lt;&gt;"",", ",""),AM11,IF($AN11&lt;&gt;"",", ",""),AN11,IF($AO11&lt;&gt;"",", ",""),AO11)</f>
        <v/>
      </c>
      <c r="P11" s="254"/>
      <c r="Q11" s="254"/>
      <c r="R11" s="183"/>
      <c r="S11" s="183"/>
      <c r="T11" s="183"/>
      <c r="U11" s="183"/>
      <c r="V11" s="183"/>
      <c r="W11" s="183"/>
      <c r="X11" s="184"/>
      <c r="Y11" s="117">
        <f t="shared" si="0"/>
        <v>0</v>
      </c>
      <c r="Z11" s="172">
        <f>IF(LEFT($E11,1)="*","Star",$Y11+IF($AJ11=0,0,IF(OR($AJ11="+MA",$AJ11="+ST",$AJ11="+AG",$AJ11="+PA",$AJ11="+AV"),-18,IF(VLOOKUP($AJ11,AbilityT[],2,FALSE)="General",-6*VLOOKUP($E11,TeamT[],11,FALSE),IF(VLOOKUP($AJ11,AbilityT[],2,FALSE)="Agility",-6*VLOOKUP($E11,TeamT[],12,FALSE),IF(VLOOKUP($AJ11,AbilityT[],2,FALSE)="Strength",-6*VLOOKUP($E11,TeamT[],13,FALSE),IF(VLOOKUP($AJ11,AbilityT[],2,FALSE)="Passing",-6*VLOOKUP($E11,TeamT[],14,FALSE),IF(VLOOKUP($AJ11,AbilityT[],2,FALSE)="Mutation",-6*VLOOKUP($E11,TeamT[],15,FALSE),IF(VLOOKUP($AJ11,AbilityT[],2,FALSE)="General_R",-3*VLOOKUP($E11,TeamT[],11,FALSE),IF(VLOOKUP($AJ11,AbilityT[],2,FALSE)="Agility_R",-3*VLOOKUP($E11,TeamT[],12,FALSE),IF(VLOOKUP($AJ11,AbilityT[],2,FALSE)="Strength_R",-3*VLOOKUP($E11,TeamT[],13,FALSE),IF(VLOOKUP($AJ11,AbilityT[],2,FALSE)="Passing_R",-3*VLOOKUP($E11,TeamT[],14,FALSE),IF(VLOOKUP($AJ11,AbilityT[],2,FALSE)="Mutation_R",-3*VLOOKUP($E11,TeamT[],15,FALSE),"ERROR")))))))))))+IF($AK11=0,0,IF(OR($AK11="+MA",$AK11="+ST",$AK11="+AG",$AK11="+PA",$AK11="+AV"),-20,IF(VLOOKUP($AK11,AbilityT[],2,FALSE)="General",IF(VLOOKUP($E11,TeamT[],11,FALSE)=1,-8*VLOOKUP($E11,TeamT[],11,FALSE),-7*VLOOKUP($E11,TeamT[],11,FALSE)),IF(VLOOKUP($AK11,AbilityT[],2,FALSE)="Agility",IF(VLOOKUP($E11,TeamT[],12,FALSE)=1,-8*VLOOKUP($E11,TeamT[],12,FALSE),-7*VLOOKUP($E11,TeamT[],12,FALSE)),IF(VLOOKUP($AK11,AbilityT[],2,FALSE)="Strength",IF(VLOOKUP($E11,TeamT[],13,FALSE)=1,-8*VLOOKUP($E11,TeamT[],13,FALSE),-7*VLOOKUP($E11,TeamT[],13,FALSE)),IF(VLOOKUP($AK11,AbilityT[],2,FALSE)="Passing",IF(VLOOKUP($E11,TeamT[],14,FALSE)=1,-8*VLOOKUP($E11,TeamT[],14,FALSE),-7*VLOOKUP($E11,TeamT[],14,FALSE)),IF(VLOOKUP($AK11,AbilityT[],2,FALSE)="Mutation",IF(VLOOKUP($E11,TeamT[],15,FALSE)=1,-8*VLOOKUP($E11,TeamT[],15,FALSE),-7*VLOOKUP($E11,TeamT[],15,FALSE)),IF(VLOOKUP($AK11,AbilityT[],2,FALSE)="General_R",-4*VLOOKUP($E11,TeamT[],11,FALSE),IF(VLOOKUP($AK11,AbilityT[],2,FALSE)="Agility_R",-4*VLOOKUP($E11,TeamT[],12,FALSE),IF(VLOOKUP($AK11,AbilityT[],2,FALSE)="Strength_R",-4*VLOOKUP($E11,TeamT[],13,FALSE),IF(VLOOKUP($AK11,AbilityT[],2,FALSE)="Passing_R",-4*VLOOKUP($E11,TeamT[],14,FALSE),IF(VLOOKUP($AK11,AbilityT[],2,FALSE)="Mutation_R",-4*VLOOKUP($E11,TeamT[],15,FALSE),"ERROR"))))))))))))+IF($AL11=0,0,IF(OR($AL11="+MA",$AL11="+ST",$AL11="+AG",$AL11="+PA",$AL11="+AV"),-24,IF(VLOOKUP($AL11,AbilityT[],2,FALSE)="General",IF(VLOOKUP($E11,TeamT[],11,FALSE)=1,-12*VLOOKUP($E11,TeamT[],11,FALSE),-9*VLOOKUP($E11,TeamT[],11,FALSE)),IF(VLOOKUP($AL11,AbilityT[],2,FALSE)="Agility",IF(VLOOKUP($E11,TeamT[],12,FALSE)=1,-12*VLOOKUP($E11,TeamT[],12,FALSE),-9*VLOOKUP($E11,TeamT[],12,FALSE)),IF(VLOOKUP($AL11,AbilityT[],2,FALSE)="Strength",IF(VLOOKUP($E11,TeamT[],13,FALSE)=1,-12*VLOOKUP($E11,TeamT[],13,FALSE),-9*VLOOKUP($E11,TeamT[],13,FALSE)),IF(VLOOKUP($AL11,AbilityT[],2,FALSE)="Passing",IF(VLOOKUP($E11,TeamT[],14,FALSE)=1,-12*VLOOKUP($E11,TeamT[],14,FALSE),-9*VLOOKUP($E11,TeamT[],14,FALSE)),IF(VLOOKUP($AL11,AbilityT[],2,FALSE)="Mutation",IF(VLOOKUP($E11,TeamT[],15,FALSE)=1,-12*VLOOKUP($E11,TeamT[],15,FALSE),-9*VLOOKUP($E11,TeamT[],15,FALSE)),IF(VLOOKUP($AL11,AbilityT[],2,FALSE)="General_R",-6*VLOOKUP($E11,TeamT[],11,FALSE),IF(VLOOKUP($AL11,AbilityT[],2,FALSE)="Agility_R",-6*VLOOKUP($E11,TeamT[],12,FALSE),IF(VLOOKUP($AL11,AbilityT[],2,FALSE)="Strength_R",-6*VLOOKUP($E11,TeamT[],13,FALSE),IF(VLOOKUP($AL11,AbilityT[],2,FALSE)="Passing_R",-6*VLOOKUP($E11,TeamT[],14,FALSE),IF(VLOOKUP($AL11,AbilityT[],2,FALSE)="Mutation_R",-6*VLOOKUP($E11,TeamT[],15,FALSE),"ERROR"))))))))))))+IF($AM11=0,0,IF(OR($AM11="+MA",$AM11="+ST",$AM11="+AG",$AM11="+PA",$AM11="+AV"),-28,IF(VLOOKUP($AM11,AbilityT[],2,FALSE)="General",IF(VLOOKUP($E11,TeamT[],11,FALSE)=1,-16*VLOOKUP($E11,TeamT[],11,FALSE),-11*VLOOKUP($E11,TeamT[],11,FALSE)),IF(VLOOKUP($AM11,AbilityT[],2,FALSE)="Agility",IF(VLOOKUP($E11,TeamT[],12,FALSE)=1,-16*VLOOKUP($E11,TeamT[],12,FALSE),-11*VLOOKUP($E11,TeamT[],12,FALSE)),IF(VLOOKUP($AM11,AbilityT[],2,FALSE)="Strength",IF(VLOOKUP($E11,TeamT[],13,FALSE)=1,-16*VLOOKUP($E11,TeamT[],13,FALSE),-11*VLOOKUP($E11,TeamT[],13,FALSE)),IF(VLOOKUP($AM11,AbilityT[],2,FALSE)="Passing",IF(VLOOKUP($E11,TeamT[],14,FALSE)=1,-16*VLOOKUP($E11,TeamT[],14,FALSE),-11*VLOOKUP($E11,TeamT[],14,FALSE)),IF(VLOOKUP($AM11,AbilityT[],2,FALSE)="Mutation",IF(VLOOKUP($E11,TeamT[],15,FALSE)=1,-16*VLOOKUP($E11,TeamT[],15,FALSE),-11*VLOOKUP($E11,TeamT[],15,FALSE)),IF(VLOOKUP($AM11,AbilityT[],2,FALSE)="General_R",-8*VLOOKUP($E11,TeamT[],11,FALSE),IF(VLOOKUP($AM11,AbilityT[],2,FALSE)="Agility_R",-8*VLOOKUP($E11,TeamT[],12,FALSE),IF(VLOOKUP($AM11,AbilityT[],2,FALSE)="Strength_R",-8*VLOOKUP($E11,TeamT[],13,FALSE),IF(VLOOKUP($AM11,AbilityT[],2,FALSE)="Passing_R",-8*VLOOKUP($E11,TeamT[],14,FALSE),IF(VLOOKUP($AM11,AbilityT[],2,FALSE)="Mutation_R",-8*VLOOKUP($E11,TeamT[],15,FALSE),"ERROR"))))))))))))+IF($AN11=0,0,IF(OR($AN11="+MA",$AN11="+ST",$AN11="+AG",$AN11="+PA",$AN11="+AV"),-32,IF(VLOOKUP($AN11,AbilityT[],2,FALSE)="General",IF(VLOOKUP($E11,TeamT[],11,FALSE)=1,-20*VLOOKUP($E11,TeamT[],11,FALSE),-13*VLOOKUP($E11,TeamT[],11,FALSE)),IF(VLOOKUP($AN11,AbilityT[],2,FALSE)="Agility",IF(VLOOKUP($E11,TeamT[],12,FALSE)=1,-20*VLOOKUP($E11,TeamT[],12,FALSE),-13*VLOOKUP($E11,TeamT[],12,FALSE)),IF(VLOOKUP($AN11,AbilityT[],2,FALSE)="Strength",IF(VLOOKUP($E11,TeamT[],13,FALSE)=1,-20*VLOOKUP($E11,TeamT[],13,FALSE),-13*VLOOKUP($E11,TeamT[],13,FALSE)),IF(VLOOKUP($AN11,AbilityT[],2,FALSE)="Passing",IF(VLOOKUP($E11,TeamT[],14,FALSE)=1,-20*VLOOKUP($E11,TeamT[],14,FALSE),-13*VLOOKUP($E11,TeamT[],14,FALSE)),IF(VLOOKUP($AN11,AbilityT[],2,FALSE)="Mutation",IF(VLOOKUP($E11,TeamT[],15,FALSE)=1,-20*VLOOKUP($E11,TeamT[],15,FALSE),-13*VLOOKUP($E11,TeamT[],15,FALSE)),IF(VLOOKUP($AN11,AbilityT[],2,FALSE)="General_R",-10*VLOOKUP($E11,TeamT[],11,FALSE),IF(VLOOKUP($AN11,AbilityT[],2,FALSE)="Agility_R",-10*VLOOKUP($E11,TeamT[],12,FALSE),IF(VLOOKUP($AN11,AbilityT[],2,FALSE)="Strength_R",-10*VLOOKUP($E11,TeamT[],13,FALSE),IF(VLOOKUP($AN11,AbilityT[],2,FALSE)="Passing_R",-10*VLOOKUP($E11,TeamT[],14,FALSE),IF(VLOOKUP($AN11,AbilityT[],2,FALSE)="Mutation_R",-10*VLOOKUP($E11,TeamT[],15,FALSE),"ERROR"))))))))))))+IF($AO11=0,0,IF(OR($AO11="+MA",$AO11="+ST",$AO11="+AG",$AO11="+PA",$AO11="+AV"),-50,IF(VLOOKUP($AO11,AbilityT[],2,FALSE)="General",IF(VLOOKUP($E11,TeamT[],11,FALSE)=1,-30*VLOOKUP($E11,TeamT[],11,FALSE),-20*VLOOKUP($E11,TeamT[],11,FALSE)),IF(VLOOKUP($AO11,AbilityT[],2,FALSE)="Agility",IF(VLOOKUP($E11,TeamT[],12,FALSE)=1,-30*VLOOKUP($E11,TeamT[],12,FALSE),-20*VLOOKUP($E11,TeamT[],12,FALSE)),IF(VLOOKUP($AO11,AbilityT[],2,FALSE)="Strength",IF(VLOOKUP($E11,TeamT[],13,FALSE)=1,-30*VLOOKUP($E11,TeamT[],13,FALSE),-20*VLOOKUP($E11,TeamT[],13,FALSE)),IF(VLOOKUP($AO11,AbilityT[],2,FALSE)="Passing",IF(VLOOKUP($E11,TeamT[],14,FALSE)=1,-30*VLOOKUP($E11,TeamT[],14,FALSE),-20*VLOOKUP($E11,TeamT[],14,FALSE)),IF(VLOOKUP($AO11,AbilityT[],2,FALSE)="Mutation",IF(VLOOKUP($E11,TeamT[],15,FALSE)=1,-30*VLOOKUP($E11,TeamT[],15,FALSE),-20*VLOOKUP($E11,TeamT[],15,FALSE)),IF(VLOOKUP($AO11,AbilityT[],2,FALSE)="General_R",-15*VLOOKUP($E11,TeamT[],11,FALSE),IF(VLOOKUP($AO11,AbilityT[],2,FALSE)="Agility_R",-15*VLOOKUP($E11,TeamT[],12,FALSE),IF(VLOOKUP($AO11,AbilityT[],2,FALSE)="Strength_R",-15*VLOOKUP($E11,TeamT[],13,FALSE),IF(VLOOKUP($AO11,AbilityT[],2,FALSE)="Passing_R",-15*VLOOKUP($E11,TeamT[],14,FALSE),IF(VLOOKUP($AO11,AbilityT[],2,FALSE)="Mutation_R",-15*VLOOKUP($E11,TeamT[],15,FALSE),"ERROR")))))))))))))+IF($AA11&lt;=5,-6*$AA11,-6*$AA11-4))</f>
        <v>0</v>
      </c>
      <c r="AA11" s="188"/>
      <c r="AB11" s="115">
        <f>IF($E11="",0,VLOOKUP($E11,TeamT[],3,FALSE)+IF($O$28="Tournament Setup",0,IF($AJ11="",0,IF($AJ11="+AV",10000,IF(OR($AJ11="+MA",$AJ11="+PA"),20000,IF($AJ11="+AG",40000,IF($AJ11="+ST",80000,20000*IF(VLOOKUP($AJ11,AbilityT[],2,FALSE)="General",VLOOKUP($E11,TeamT[],11,FALSE),IF(VLOOKUP($AJ11,AbilityT[],2,FALSE)="Agility",VLOOKUP($E11,TeamT[],12,FALSE),IF(VLOOKUP($AJ11,AbilityT[],2,FALSE)="Strength",VLOOKUP($E11,TeamT[],13,FALSE),IF(VLOOKUP($AJ11,AbilityT[],2,FALSE)="Passing",VLOOKUP($E11,TeamT[],14,FALSE),IF(VLOOKUP($AJ11,AbilityT[],2,FALSE)="Mutation",VLOOKUP($E11,TeamT[],15,FALSE),IF(VLOOKUP($AJ11,AbilityT[],2,FALSE)="General_R",0.5*VLOOKUP($E11,TeamT[],11,FALSE),IF(VLOOKUP($AJ11,AbilityT[],2,FALSE)="Agility_R",0.5*VLOOKUP($E11,TeamT[],12,FALSE),IF(VLOOKUP($AJ11,AbilityT[],2,FALSE)="Strength_R",0.5*VLOOKUP($E11,TeamT[],13,FALSE),IF(VLOOKUP($AJ11,AbilityT[],2,FALSE)="Passing_R",0.5*VLOOKUP($E11,TeamT[],14,FALSE),IF(VLOOKUP($AJ11,AbilityT[],2,FALSE)="Mutation_R",0.5*VLOOKUP($E11,TeamT[],15,FALSE),"ERROR")))))))))))))))+IF($AK11="",0,IF($AK11="+AV",10000,IF(OR($AK11="+MA",$AK11="+PA"),20000,IF($AK11="+AG",40000,IF($AK11="+ST",80000,20000*IF(VLOOKUP($AK11,AbilityT[],2,FALSE)="General",VLOOKUP($E11,TeamT[],11,FALSE),IF(VLOOKUP($AK11,AbilityT[],2,FALSE)="Agility",VLOOKUP($E11,TeamT[],12,FALSE),IF(VLOOKUP($AK11,AbilityT[],2,FALSE)="Strength",VLOOKUP($E11,TeamT[],13,FALSE),IF(VLOOKUP($AK11,AbilityT[],2,FALSE)="Passing",VLOOKUP($E11,TeamT[],14,FALSE),IF(VLOOKUP($AK11,AbilityT[],2,FALSE)="Mutation",VLOOKUP($E11,TeamT[],15,FALSE),IF(VLOOKUP($AK11,AbilityT[],2,FALSE)="General_R",0.5*VLOOKUP($E11,TeamT[],11,FALSE),IF(VLOOKUP($AK11,AbilityT[],2,FALSE)="Agility_R",0.5*VLOOKUP($E11,TeamT[],12,FALSE),IF(VLOOKUP($AK11,AbilityT[],2,FALSE)="Strength_R",0.5*VLOOKUP($E11,TeamT[],13,FALSE),IF(VLOOKUP($AK11,AbilityT[],2,FALSE)="Passing_R",0.5*VLOOKUP($E11,TeamT[],14,FALSE),IF(VLOOKUP($AK11,AbilityT[],2,FALSE)="Mutation_R",0.5*VLOOKUP($E11,TeamT[],15,FALSE),"ERROR")))))))))))))))+IF($AL11="",0,IF($AL11="+AV",10000,IF(OR($AL11="+MA",$AL11="+PA"),20000,IF($AL11="+AG",40000,IF($AL11="+ST",80000,20000*IF(VLOOKUP($AL11,AbilityT[],2,FALSE)="General",VLOOKUP($E11,TeamT[],11,FALSE),IF(VLOOKUP($AL11,AbilityT[],2,FALSE)="Agility",VLOOKUP($E11,TeamT[],12,FALSE),IF(VLOOKUP($AL11,AbilityT[],2,FALSE)="Strength",VLOOKUP($E11,TeamT[],13,FALSE),IF(VLOOKUP($AL11,AbilityT[],2,FALSE)="Passing",VLOOKUP($E11,TeamT[],14,FALSE),IF(VLOOKUP($AL11,AbilityT[],2,FALSE)="Mutation",VLOOKUP($E11,TeamT[],15,FALSE),IF(VLOOKUP($AL11,AbilityT[],2,FALSE)="General_R",0.5*VLOOKUP($E11,TeamT[],11,FALSE),IF(VLOOKUP($AL11,AbilityT[],2,FALSE)="Agility_R",0.5*VLOOKUP($E11,TeamT[],12,FALSE),IF(VLOOKUP($AL11,AbilityT[],2,FALSE)="Strength_R",0.5*VLOOKUP($E11,TeamT[],13,FALSE),IF(VLOOKUP($AL11,AbilityT[],2,FALSE)="Passing_R",0.5*VLOOKUP($E11,TeamT[],14,FALSE),IF(VLOOKUP($AL11,AbilityT[],2,FALSE)="Mutation_R",0.5*VLOOKUP($E11,TeamT[],15,FALSE),"ERROR")))))))))))))))+IF($AM11="",0,IF($AM11="+AV",10000,IF(OR($AM11="+MA",$AM11="+PA"),20000,IF($AM11="+AG",40000,IF($AM11="+ST",80000,20000*IF(VLOOKUP($AM11,AbilityT[],2,FALSE)="General",VLOOKUP($E11,TeamT[],11,FALSE),IF(VLOOKUP($AM11,AbilityT[],2,FALSE)="Agility",VLOOKUP($E11,TeamT[],12,FALSE),IF(VLOOKUP($AM11,AbilityT[],2,FALSE)="Strength",VLOOKUP($E11,TeamT[],13,FALSE),IF(VLOOKUP($AM11,AbilityT[],2,FALSE)="Passing",VLOOKUP($E11,TeamT[],14,FALSE),IF(VLOOKUP($AM11,AbilityT[],2,FALSE)="Mutation",VLOOKUP($E11,TeamT[],15,FALSE),IF(VLOOKUP($AM11,AbilityT[],2,FALSE)="General_R",0.5*VLOOKUP($E11,TeamT[],11,FALSE),IF(VLOOKUP($AM11,AbilityT[],2,FALSE)="Agility_R",0.5*VLOOKUP($E11,TeamT[],12,FALSE),IF(VLOOKUP($AM11,AbilityT[],2,FALSE)="Strength_R",0.5*VLOOKUP($E11,TeamT[],13,FALSE),IF(VLOOKUP($AM11,AbilityT[],2,FALSE)="Passing_R",0.5*VLOOKUP($E11,TeamT[],14,FALSE),IF(VLOOKUP($AM11,AbilityT[],2,FALSE)="Mutation_R",0.5*VLOOKUP($E11,TeamT[],15,FALSE),"ERROR")))))))))))))))+IF($AN11="",0,IF($AN11="+AV",10000,IF(OR($AN11="+MA",$AN11="+PA"),20000,IF($AN11="+AG",40000,IF($AN11="+ST",80000,20000*IF(VLOOKUP($AN11,AbilityT[],2,FALSE)="General",VLOOKUP($E11,TeamT[],11,FALSE),IF(VLOOKUP($AN11,AbilityT[],2,FALSE)="Agility",VLOOKUP($E11,TeamT[],12,FALSE),IF(VLOOKUP($AN11,AbilityT[],2,FALSE)="Strength",VLOOKUP($E11,TeamT[],13,FALSE),IF(VLOOKUP($AN11,AbilityT[],2,FALSE)="Passing",VLOOKUP($E11,TeamT[],14,FALSE),IF(VLOOKUP($AN11,AbilityT[],2,FALSE)="Mutation",VLOOKUP($E11,TeamT[],15,FALSE),IF(VLOOKUP($AN11,AbilityT[],2,FALSE)="General_R",0.5*VLOOKUP($E11,TeamT[],11,FALSE),IF(VLOOKUP($AN11,AbilityT[],2,FALSE)="Agility_R",0.5*VLOOKUP($E11,TeamT[],12,FALSE),IF(VLOOKUP($AN11,AbilityT[],2,FALSE)="Strength_R",0.5*VLOOKUP($E11,TeamT[],13,FALSE),IF(VLOOKUP($AN11,AbilityT[],2,FALSE)="Passing_R",0.5*VLOOKUP($E11,TeamT[],14,FALSE),IF(VLOOKUP($AN11,AbilityT[],2,FALSE)="Mutation_R",0.5*VLOOKUP($E11,TeamT[],15,FALSE),"ERROR")))))))))))))))+IF($AO11="",0,IF($AO11="+AV",10000,IF(OR($AO11="+MA",$AO11="+PA"),20000,IF($AO11="+AG",40000,IF($AO11="+ST",80000,20000*IF(VLOOKUP($AO11,AbilityT[],2,FALSE)="General",VLOOKUP($E11,TeamT[],11,FALSE),IF(VLOOKUP($AO11,AbilityT[],2,FALSE)="Agility",VLOOKUP($E11,TeamT[],12,FALSE),IF(VLOOKUP($AO11,AbilityT[],2,FALSE)="Strength",VLOOKUP($E11,TeamT[],13,FALSE),IF(VLOOKUP($AO11,AbilityT[],2,FALSE)="Passing",VLOOKUP($E11,TeamT[],14,FALSE),IF(VLOOKUP($AO11,AbilityT[],2,FALSE)="Mutation",VLOOKUP($E11,TeamT[],15,FALSE),IF(VLOOKUP($AO11,AbilityT[],2,FALSE)="General_R",0.5*VLOOKUP($E11,TeamT[],11,FALSE),IF(VLOOKUP($AO11,AbilityT[],2,FALSE)="Agility_R",0.5*VLOOKUP($E11,TeamT[],12,FALSE),IF(VLOOKUP($AO11,AbilityT[],2,FALSE)="Strength_R",0.5*VLOOKUP($E11,TeamT[],13,FALSE),IF(VLOOKUP($AO11,AbilityT[],2,FALSE)="Passing_R",0.5*VLOOKUP($E11,TeamT[],14,FALSE),IF(VLOOKUP($AO11,AbilityT[],2,FALSE)="Mutation_R",0.5*VLOOKUP($E11,TeamT[],15,FALSE),"ERROR"))))))))))))))))+$AC11)</f>
        <v>0</v>
      </c>
      <c r="AC11" s="190"/>
      <c r="AD11" s="193"/>
      <c r="AE11" s="119"/>
      <c r="AF11" s="120"/>
      <c r="AG11" s="120"/>
      <c r="AH11" s="120"/>
      <c r="AI11" s="121"/>
      <c r="AJ11" s="118"/>
      <c r="AK11" s="118"/>
      <c r="AL11" s="118"/>
      <c r="AM11" s="118"/>
      <c r="AN11" s="118"/>
      <c r="AO11" s="118"/>
      <c r="AP11" s="199"/>
      <c r="BC11" s="1" t="e">
        <f>VLOOKUP($E11,TeamT[],5,FALSE)</f>
        <v>#N/A</v>
      </c>
      <c r="BD11" s="1" t="e">
        <f>VLOOKUP($E11,TeamT[],6,FALSE)</f>
        <v>#N/A</v>
      </c>
      <c r="BE11" s="1" t="e">
        <f>VLOOKUP($E11,TeamT[],19,FALSE)</f>
        <v>#N/A</v>
      </c>
      <c r="BF11" s="1" t="e">
        <f>VLOOKUP($E11,TeamT[],20,FALSE)</f>
        <v>#N/A</v>
      </c>
      <c r="BG11" s="1" t="e">
        <f>VLOOKUP($E11,TeamT[],21,FALSE)</f>
        <v>#N/A</v>
      </c>
    </row>
    <row r="12" spans="2:59 1030:1031" ht="34.9" customHeight="1" thickBot="1" x14ac:dyDescent="0.2">
      <c r="B12" s="180">
        <v>8</v>
      </c>
      <c r="C12" s="110"/>
      <c r="D12" s="70">
        <f t="shared" si="1"/>
        <v>0</v>
      </c>
      <c r="E12" s="264"/>
      <c r="F12" s="264"/>
      <c r="G12" s="264"/>
      <c r="H12" s="72" t="str">
        <f>IF($E12&lt;&gt;"",VLOOKUP(E12,TeamT[],4,FALSE),"")</f>
        <v/>
      </c>
      <c r="I12" s="229" t="str">
        <f>IF($E12="","",IF(VLOOKUP($E12,TeamT[],5,FALSE)+COUNTIF($AJ12:$AO12,"=+MA")+$AE12&gt;9,9,IF(VLOOKUP($E12,TeamT[],5,FALSE)+COUNTIF($AJ12:$AO12,"=+MA")+$AE12&lt;1,1,VLOOKUP($E12,TeamT[],5,FALSE)+COUNTIF($AJ12:$AO12,"=+MA")+$AE12)))</f>
        <v/>
      </c>
      <c r="J12" s="230" t="str">
        <f>IF($E12="","",IF(VLOOKUP($E12,TeamT[],6,FALSE)+COUNTIF($AJ12:$AO12,"=+ST")+$AF12&gt;8,8,IF(VLOOKUP($E12,TeamT[],6,FALSE)+COUNTIF($AJ12:$AO12,"=+ST")+$AF12&lt;1,1,VLOOKUP($E12,TeamT[],6,FALSE)+COUNTIF($AJ12:$AO12,"=+ST")+$AF12)))</f>
        <v/>
      </c>
      <c r="K12" s="231" t="str">
        <f>IF($E12="","",IF(VLOOKUP($E12,TeamT[],19,FALSE)-COUNTIF($AJ12:$AO12,"=+AG")-$AG12&gt;6,6,IF(VLOOKUP($E12,TeamT[],19,FALSE)-COUNTIF($AJ12:$AO12,"=+AG")-$AG12&lt;1,1,VLOOKUP($E12,TeamT[],19,FALSE)-COUNTIF($AJ12:$AO12,"=+AG")-$AG12)))</f>
        <v/>
      </c>
      <c r="L12" s="231" t="str">
        <f>IF($E12="","",IF(VLOOKUP($E12,TeamT[],20,FALSE)="-","-",IF(VLOOKUP($E12,TeamT[],20,FALSE)-COUNTIF($AJ12:$AO12,"=+PA")-$AH12&gt;6,6,IF(VLOOKUP($E12,TeamT[],20,FALSE)-COUNTIF($AJ12:$AO12,"=+PA")-$AH12&lt;1,1,VLOOKUP($E12,TeamT[],20,FALSE)-COUNTIF($AJ12:$AO12,"=+PA")-$AH12))))</f>
        <v/>
      </c>
      <c r="M12" s="231" t="str">
        <f>IF($E12="","",IF(VLOOKUP($E12,TeamT[],21,FALSE)+COUNTIF($AJ12:$AO12,"=+AV")+$AI12&gt;11,11,IF(VLOOKUP($E12,TeamT[],21,FALSE)+COUNTIF($AJ12:$AO12,"=+AV")+$AI12&lt;3,3,VLOOKUP($E12,TeamT[],21,FALSE)+COUNTIF($AJ12:$AO12,"=+AV")+$AI12)))</f>
        <v/>
      </c>
      <c r="N12" s="225" t="str">
        <f>IF($E12="","",IF(COUNTIF($E$5:$E$20,$E12)&gt;VLOOKUP($E12,TeamT[],4,FALSE),"ERROR! Too many Player wit same role",(IF(Reces!$BR11&lt;&gt;0,"ERROR! Too many Big Guys!",(IF(Reces!$BT11&lt;&gt;0,"ERROR! Too many Star Players!",VLOOKUP($E12,TeamT[],10,FALSE)))))))</f>
        <v/>
      </c>
      <c r="O12" s="106" t="str">
        <f t="shared" si="2"/>
        <v/>
      </c>
      <c r="P12" s="254"/>
      <c r="Q12" s="254"/>
      <c r="R12" s="183"/>
      <c r="S12" s="183"/>
      <c r="T12" s="183"/>
      <c r="U12" s="183"/>
      <c r="V12" s="183"/>
      <c r="W12" s="183"/>
      <c r="X12" s="184"/>
      <c r="Y12" s="117">
        <f t="shared" si="0"/>
        <v>0</v>
      </c>
      <c r="Z12" s="172">
        <f>IF(LEFT($E12,1)="*","Star",$Y12+IF($AJ12=0,0,IF(OR($AJ12="+MA",$AJ12="+ST",$AJ12="+AG",$AJ12="+PA",$AJ12="+AV"),-18,IF(VLOOKUP($AJ12,AbilityT[],2,FALSE)="General",-6*VLOOKUP($E12,TeamT[],11,FALSE),IF(VLOOKUP($AJ12,AbilityT[],2,FALSE)="Agility",-6*VLOOKUP($E12,TeamT[],12,FALSE),IF(VLOOKUP($AJ12,AbilityT[],2,FALSE)="Strength",-6*VLOOKUP($E12,TeamT[],13,FALSE),IF(VLOOKUP($AJ12,AbilityT[],2,FALSE)="Passing",-6*VLOOKUP($E12,TeamT[],14,FALSE),IF(VLOOKUP($AJ12,AbilityT[],2,FALSE)="Mutation",-6*VLOOKUP($E12,TeamT[],15,FALSE),IF(VLOOKUP($AJ12,AbilityT[],2,FALSE)="General_R",-3*VLOOKUP($E12,TeamT[],11,FALSE),IF(VLOOKUP($AJ12,AbilityT[],2,FALSE)="Agility_R",-3*VLOOKUP($E12,TeamT[],12,FALSE),IF(VLOOKUP($AJ12,AbilityT[],2,FALSE)="Strength_R",-3*VLOOKUP($E12,TeamT[],13,FALSE),IF(VLOOKUP($AJ12,AbilityT[],2,FALSE)="Passing_R",-3*VLOOKUP($E12,TeamT[],14,FALSE),IF(VLOOKUP($AJ12,AbilityT[],2,FALSE)="Mutation_R",-3*VLOOKUP($E12,TeamT[],15,FALSE),"ERROR")))))))))))+IF($AK12=0,0,IF(OR($AK12="+MA",$AK12="+ST",$AK12="+AG",$AK12="+PA",$AK12="+AV"),-20,IF(VLOOKUP($AK12,AbilityT[],2,FALSE)="General",IF(VLOOKUP($E12,TeamT[],11,FALSE)=1,-8*VLOOKUP($E12,TeamT[],11,FALSE),-7*VLOOKUP($E12,TeamT[],11,FALSE)),IF(VLOOKUP($AK12,AbilityT[],2,FALSE)="Agility",IF(VLOOKUP($E12,TeamT[],12,FALSE)=1,-8*VLOOKUP($E12,TeamT[],12,FALSE),-7*VLOOKUP($E12,TeamT[],12,FALSE)),IF(VLOOKUP($AK12,AbilityT[],2,FALSE)="Strength",IF(VLOOKUP($E12,TeamT[],13,FALSE)=1,-8*VLOOKUP($E12,TeamT[],13,FALSE),-7*VLOOKUP($E12,TeamT[],13,FALSE)),IF(VLOOKUP($AK12,AbilityT[],2,FALSE)="Passing",IF(VLOOKUP($E12,TeamT[],14,FALSE)=1,-8*VLOOKUP($E12,TeamT[],14,FALSE),-7*VLOOKUP($E12,TeamT[],14,FALSE)),IF(VLOOKUP($AK12,AbilityT[],2,FALSE)="Mutation",IF(VLOOKUP($E12,TeamT[],15,FALSE)=1,-8*VLOOKUP($E12,TeamT[],15,FALSE),-7*VLOOKUP($E12,TeamT[],15,FALSE)),IF(VLOOKUP($AK12,AbilityT[],2,FALSE)="General_R",-4*VLOOKUP($E12,TeamT[],11,FALSE),IF(VLOOKUP($AK12,AbilityT[],2,FALSE)="Agility_R",-4*VLOOKUP($E12,TeamT[],12,FALSE),IF(VLOOKUP($AK12,AbilityT[],2,FALSE)="Strength_R",-4*VLOOKUP($E12,TeamT[],13,FALSE),IF(VLOOKUP($AK12,AbilityT[],2,FALSE)="Passing_R",-4*VLOOKUP($E12,TeamT[],14,FALSE),IF(VLOOKUP($AK12,AbilityT[],2,FALSE)="Mutation_R",-4*VLOOKUP($E12,TeamT[],15,FALSE),"ERROR"))))))))))))+IF($AL12=0,0,IF(OR($AL12="+MA",$AL12="+ST",$AL12="+AG",$AL12="+PA",$AL12="+AV"),-24,IF(VLOOKUP($AL12,AbilityT[],2,FALSE)="General",IF(VLOOKUP($E12,TeamT[],11,FALSE)=1,-12*VLOOKUP($E12,TeamT[],11,FALSE),-9*VLOOKUP($E12,TeamT[],11,FALSE)),IF(VLOOKUP($AL12,AbilityT[],2,FALSE)="Agility",IF(VLOOKUP($E12,TeamT[],12,FALSE)=1,-12*VLOOKUP($E12,TeamT[],12,FALSE),-9*VLOOKUP($E12,TeamT[],12,FALSE)),IF(VLOOKUP($AL12,AbilityT[],2,FALSE)="Strength",IF(VLOOKUP($E12,TeamT[],13,FALSE)=1,-12*VLOOKUP($E12,TeamT[],13,FALSE),-9*VLOOKUP($E12,TeamT[],13,FALSE)),IF(VLOOKUP($AL12,AbilityT[],2,FALSE)="Passing",IF(VLOOKUP($E12,TeamT[],14,FALSE)=1,-12*VLOOKUP($E12,TeamT[],14,FALSE),-9*VLOOKUP($E12,TeamT[],14,FALSE)),IF(VLOOKUP($AL12,AbilityT[],2,FALSE)="Mutation",IF(VLOOKUP($E12,TeamT[],15,FALSE)=1,-12*VLOOKUP($E12,TeamT[],15,FALSE),-9*VLOOKUP($E12,TeamT[],15,FALSE)),IF(VLOOKUP($AL12,AbilityT[],2,FALSE)="General_R",-6*VLOOKUP($E12,TeamT[],11,FALSE),IF(VLOOKUP($AL12,AbilityT[],2,FALSE)="Agility_R",-6*VLOOKUP($E12,TeamT[],12,FALSE),IF(VLOOKUP($AL12,AbilityT[],2,FALSE)="Strength_R",-6*VLOOKUP($E12,TeamT[],13,FALSE),IF(VLOOKUP($AL12,AbilityT[],2,FALSE)="Passing_R",-6*VLOOKUP($E12,TeamT[],14,FALSE),IF(VLOOKUP($AL12,AbilityT[],2,FALSE)="Mutation_R",-6*VLOOKUP($E12,TeamT[],15,FALSE),"ERROR"))))))))))))+IF($AM12=0,0,IF(OR($AM12="+MA",$AM12="+ST",$AM12="+AG",$AM12="+PA",$AM12="+AV"),-28,IF(VLOOKUP($AM12,AbilityT[],2,FALSE)="General",IF(VLOOKUP($E12,TeamT[],11,FALSE)=1,-16*VLOOKUP($E12,TeamT[],11,FALSE),-11*VLOOKUP($E12,TeamT[],11,FALSE)),IF(VLOOKUP($AM12,AbilityT[],2,FALSE)="Agility",IF(VLOOKUP($E12,TeamT[],12,FALSE)=1,-16*VLOOKUP($E12,TeamT[],12,FALSE),-11*VLOOKUP($E12,TeamT[],12,FALSE)),IF(VLOOKUP($AM12,AbilityT[],2,FALSE)="Strength",IF(VLOOKUP($E12,TeamT[],13,FALSE)=1,-16*VLOOKUP($E12,TeamT[],13,FALSE),-11*VLOOKUP($E12,TeamT[],13,FALSE)),IF(VLOOKUP($AM12,AbilityT[],2,FALSE)="Passing",IF(VLOOKUP($E12,TeamT[],14,FALSE)=1,-16*VLOOKUP($E12,TeamT[],14,FALSE),-11*VLOOKUP($E12,TeamT[],14,FALSE)),IF(VLOOKUP($AM12,AbilityT[],2,FALSE)="Mutation",IF(VLOOKUP($E12,TeamT[],15,FALSE)=1,-16*VLOOKUP($E12,TeamT[],15,FALSE),-11*VLOOKUP($E12,TeamT[],15,FALSE)),IF(VLOOKUP($AM12,AbilityT[],2,FALSE)="General_R",-8*VLOOKUP($E12,TeamT[],11,FALSE),IF(VLOOKUP($AM12,AbilityT[],2,FALSE)="Agility_R",-8*VLOOKUP($E12,TeamT[],12,FALSE),IF(VLOOKUP($AM12,AbilityT[],2,FALSE)="Strength_R",-8*VLOOKUP($E12,TeamT[],13,FALSE),IF(VLOOKUP($AM12,AbilityT[],2,FALSE)="Passing_R",-8*VLOOKUP($E12,TeamT[],14,FALSE),IF(VLOOKUP($AM12,AbilityT[],2,FALSE)="Mutation_R",-8*VLOOKUP($E12,TeamT[],15,FALSE),"ERROR"))))))))))))+IF($AN12=0,0,IF(OR($AN12="+MA",$AN12="+ST",$AN12="+AG",$AN12="+PA",$AN12="+AV"),-32,IF(VLOOKUP($AN12,AbilityT[],2,FALSE)="General",IF(VLOOKUP($E12,TeamT[],11,FALSE)=1,-20*VLOOKUP($E12,TeamT[],11,FALSE),-13*VLOOKUP($E12,TeamT[],11,FALSE)),IF(VLOOKUP($AN12,AbilityT[],2,FALSE)="Agility",IF(VLOOKUP($E12,TeamT[],12,FALSE)=1,-20*VLOOKUP($E12,TeamT[],12,FALSE),-13*VLOOKUP($E12,TeamT[],12,FALSE)),IF(VLOOKUP($AN12,AbilityT[],2,FALSE)="Strength",IF(VLOOKUP($E12,TeamT[],13,FALSE)=1,-20*VLOOKUP($E12,TeamT[],13,FALSE),-13*VLOOKUP($E12,TeamT[],13,FALSE)),IF(VLOOKUP($AN12,AbilityT[],2,FALSE)="Passing",IF(VLOOKUP($E12,TeamT[],14,FALSE)=1,-20*VLOOKUP($E12,TeamT[],14,FALSE),-13*VLOOKUP($E12,TeamT[],14,FALSE)),IF(VLOOKUP($AN12,AbilityT[],2,FALSE)="Mutation",IF(VLOOKUP($E12,TeamT[],15,FALSE)=1,-20*VLOOKUP($E12,TeamT[],15,FALSE),-13*VLOOKUP($E12,TeamT[],15,FALSE)),IF(VLOOKUP($AN12,AbilityT[],2,FALSE)="General_R",-10*VLOOKUP($E12,TeamT[],11,FALSE),IF(VLOOKUP($AN12,AbilityT[],2,FALSE)="Agility_R",-10*VLOOKUP($E12,TeamT[],12,FALSE),IF(VLOOKUP($AN12,AbilityT[],2,FALSE)="Strength_R",-10*VLOOKUP($E12,TeamT[],13,FALSE),IF(VLOOKUP($AN12,AbilityT[],2,FALSE)="Passing_R",-10*VLOOKUP($E12,TeamT[],14,FALSE),IF(VLOOKUP($AN12,AbilityT[],2,FALSE)="Mutation_R",-10*VLOOKUP($E12,TeamT[],15,FALSE),"ERROR"))))))))))))+IF($AO12=0,0,IF(OR($AO12="+MA",$AO12="+ST",$AO12="+AG",$AO12="+PA",$AO12="+AV"),-50,IF(VLOOKUP($AO12,AbilityT[],2,FALSE)="General",IF(VLOOKUP($E12,TeamT[],11,FALSE)=1,-30*VLOOKUP($E12,TeamT[],11,FALSE),-20*VLOOKUP($E12,TeamT[],11,FALSE)),IF(VLOOKUP($AO12,AbilityT[],2,FALSE)="Agility",IF(VLOOKUP($E12,TeamT[],12,FALSE)=1,-30*VLOOKUP($E12,TeamT[],12,FALSE),-20*VLOOKUP($E12,TeamT[],12,FALSE)),IF(VLOOKUP($AO12,AbilityT[],2,FALSE)="Strength",IF(VLOOKUP($E12,TeamT[],13,FALSE)=1,-30*VLOOKUP($E12,TeamT[],13,FALSE),-20*VLOOKUP($E12,TeamT[],13,FALSE)),IF(VLOOKUP($AO12,AbilityT[],2,FALSE)="Passing",IF(VLOOKUP($E12,TeamT[],14,FALSE)=1,-30*VLOOKUP($E12,TeamT[],14,FALSE),-20*VLOOKUP($E12,TeamT[],14,FALSE)),IF(VLOOKUP($AO12,AbilityT[],2,FALSE)="Mutation",IF(VLOOKUP($E12,TeamT[],15,FALSE)=1,-30*VLOOKUP($E12,TeamT[],15,FALSE),-20*VLOOKUP($E12,TeamT[],15,FALSE)),IF(VLOOKUP($AO12,AbilityT[],2,FALSE)="General_R",-15*VLOOKUP($E12,TeamT[],11,FALSE),IF(VLOOKUP($AO12,AbilityT[],2,FALSE)="Agility_R",-15*VLOOKUP($E12,TeamT[],12,FALSE),IF(VLOOKUP($AO12,AbilityT[],2,FALSE)="Strength_R",-15*VLOOKUP($E12,TeamT[],13,FALSE),IF(VLOOKUP($AO12,AbilityT[],2,FALSE)="Passing_R",-15*VLOOKUP($E12,TeamT[],14,FALSE),IF(VLOOKUP($AO12,AbilityT[],2,FALSE)="Mutation_R",-15*VLOOKUP($E12,TeamT[],15,FALSE),"ERROR")))))))))))))+IF($AA12&lt;=5,-6*$AA12,-6*$AA12-4))</f>
        <v>0</v>
      </c>
      <c r="AA12" s="188"/>
      <c r="AB12" s="115">
        <f>IF($E12="",0,VLOOKUP($E12,TeamT[],3,FALSE)+IF($O$28="Tournament Setup",0,IF($AJ12="",0,IF($AJ12="+AV",10000,IF(OR($AJ12="+MA",$AJ12="+PA"),20000,IF($AJ12="+AG",40000,IF($AJ12="+ST",80000,20000*IF(VLOOKUP($AJ12,AbilityT[],2,FALSE)="General",VLOOKUP($E12,TeamT[],11,FALSE),IF(VLOOKUP($AJ12,AbilityT[],2,FALSE)="Agility",VLOOKUP($E12,TeamT[],12,FALSE),IF(VLOOKUP($AJ12,AbilityT[],2,FALSE)="Strength",VLOOKUP($E12,TeamT[],13,FALSE),IF(VLOOKUP($AJ12,AbilityT[],2,FALSE)="Passing",VLOOKUP($E12,TeamT[],14,FALSE),IF(VLOOKUP($AJ12,AbilityT[],2,FALSE)="Mutation",VLOOKUP($E12,TeamT[],15,FALSE),IF(VLOOKUP($AJ12,AbilityT[],2,FALSE)="General_R",0.5*VLOOKUP($E12,TeamT[],11,FALSE),IF(VLOOKUP($AJ12,AbilityT[],2,FALSE)="Agility_R",0.5*VLOOKUP($E12,TeamT[],12,FALSE),IF(VLOOKUP($AJ12,AbilityT[],2,FALSE)="Strength_R",0.5*VLOOKUP($E12,TeamT[],13,FALSE),IF(VLOOKUP($AJ12,AbilityT[],2,FALSE)="Passing_R",0.5*VLOOKUP($E12,TeamT[],14,FALSE),IF(VLOOKUP($AJ12,AbilityT[],2,FALSE)="Mutation_R",0.5*VLOOKUP($E12,TeamT[],15,FALSE),"ERROR")))))))))))))))+IF($AK12="",0,IF($AK12="+AV",10000,IF(OR($AK12="+MA",$AK12="+PA"),20000,IF($AK12="+AG",40000,IF($AK12="+ST",80000,20000*IF(VLOOKUP($AK12,AbilityT[],2,FALSE)="General",VLOOKUP($E12,TeamT[],11,FALSE),IF(VLOOKUP($AK12,AbilityT[],2,FALSE)="Agility",VLOOKUP($E12,TeamT[],12,FALSE),IF(VLOOKUP($AK12,AbilityT[],2,FALSE)="Strength",VLOOKUP($E12,TeamT[],13,FALSE),IF(VLOOKUP($AK12,AbilityT[],2,FALSE)="Passing",VLOOKUP($E12,TeamT[],14,FALSE),IF(VLOOKUP($AK12,AbilityT[],2,FALSE)="Mutation",VLOOKUP($E12,TeamT[],15,FALSE),IF(VLOOKUP($AK12,AbilityT[],2,FALSE)="General_R",0.5*VLOOKUP($E12,TeamT[],11,FALSE),IF(VLOOKUP($AK12,AbilityT[],2,FALSE)="Agility_R",0.5*VLOOKUP($E12,TeamT[],12,FALSE),IF(VLOOKUP($AK12,AbilityT[],2,FALSE)="Strength_R",0.5*VLOOKUP($E12,TeamT[],13,FALSE),IF(VLOOKUP($AK12,AbilityT[],2,FALSE)="Passing_R",0.5*VLOOKUP($E12,TeamT[],14,FALSE),IF(VLOOKUP($AK12,AbilityT[],2,FALSE)="Mutation_R",0.5*VLOOKUP($E12,TeamT[],15,FALSE),"ERROR")))))))))))))))+IF($AL12="",0,IF($AL12="+AV",10000,IF(OR($AL12="+MA",$AL12="+PA"),20000,IF($AL12="+AG",40000,IF($AL12="+ST",80000,20000*IF(VLOOKUP($AL12,AbilityT[],2,FALSE)="General",VLOOKUP($E12,TeamT[],11,FALSE),IF(VLOOKUP($AL12,AbilityT[],2,FALSE)="Agility",VLOOKUP($E12,TeamT[],12,FALSE),IF(VLOOKUP($AL12,AbilityT[],2,FALSE)="Strength",VLOOKUP($E12,TeamT[],13,FALSE),IF(VLOOKUP($AL12,AbilityT[],2,FALSE)="Passing",VLOOKUP($E12,TeamT[],14,FALSE),IF(VLOOKUP($AL12,AbilityT[],2,FALSE)="Mutation",VLOOKUP($E12,TeamT[],15,FALSE),IF(VLOOKUP($AL12,AbilityT[],2,FALSE)="General_R",0.5*VLOOKUP($E12,TeamT[],11,FALSE),IF(VLOOKUP($AL12,AbilityT[],2,FALSE)="Agility_R",0.5*VLOOKUP($E12,TeamT[],12,FALSE),IF(VLOOKUP($AL12,AbilityT[],2,FALSE)="Strength_R",0.5*VLOOKUP($E12,TeamT[],13,FALSE),IF(VLOOKUP($AL12,AbilityT[],2,FALSE)="Passing_R",0.5*VLOOKUP($E12,TeamT[],14,FALSE),IF(VLOOKUP($AL12,AbilityT[],2,FALSE)="Mutation_R",0.5*VLOOKUP($E12,TeamT[],15,FALSE),"ERROR")))))))))))))))+IF($AM12="",0,IF($AM12="+AV",10000,IF(OR($AM12="+MA",$AM12="+PA"),20000,IF($AM12="+AG",40000,IF($AM12="+ST",80000,20000*IF(VLOOKUP($AM12,AbilityT[],2,FALSE)="General",VLOOKUP($E12,TeamT[],11,FALSE),IF(VLOOKUP($AM12,AbilityT[],2,FALSE)="Agility",VLOOKUP($E12,TeamT[],12,FALSE),IF(VLOOKUP($AM12,AbilityT[],2,FALSE)="Strength",VLOOKUP($E12,TeamT[],13,FALSE),IF(VLOOKUP($AM12,AbilityT[],2,FALSE)="Passing",VLOOKUP($E12,TeamT[],14,FALSE),IF(VLOOKUP($AM12,AbilityT[],2,FALSE)="Mutation",VLOOKUP($E12,TeamT[],15,FALSE),IF(VLOOKUP($AM12,AbilityT[],2,FALSE)="General_R",0.5*VLOOKUP($E12,TeamT[],11,FALSE),IF(VLOOKUP($AM12,AbilityT[],2,FALSE)="Agility_R",0.5*VLOOKUP($E12,TeamT[],12,FALSE),IF(VLOOKUP($AM12,AbilityT[],2,FALSE)="Strength_R",0.5*VLOOKUP($E12,TeamT[],13,FALSE),IF(VLOOKUP($AM12,AbilityT[],2,FALSE)="Passing_R",0.5*VLOOKUP($E12,TeamT[],14,FALSE),IF(VLOOKUP($AM12,AbilityT[],2,FALSE)="Mutation_R",0.5*VLOOKUP($E12,TeamT[],15,FALSE),"ERROR")))))))))))))))+IF($AN12="",0,IF($AN12="+AV",10000,IF(OR($AN12="+MA",$AN12="+PA"),20000,IF($AN12="+AG",40000,IF($AN12="+ST",80000,20000*IF(VLOOKUP($AN12,AbilityT[],2,FALSE)="General",VLOOKUP($E12,TeamT[],11,FALSE),IF(VLOOKUP($AN12,AbilityT[],2,FALSE)="Agility",VLOOKUP($E12,TeamT[],12,FALSE),IF(VLOOKUP($AN12,AbilityT[],2,FALSE)="Strength",VLOOKUP($E12,TeamT[],13,FALSE),IF(VLOOKUP($AN12,AbilityT[],2,FALSE)="Passing",VLOOKUP($E12,TeamT[],14,FALSE),IF(VLOOKUP($AN12,AbilityT[],2,FALSE)="Mutation",VLOOKUP($E12,TeamT[],15,FALSE),IF(VLOOKUP($AN12,AbilityT[],2,FALSE)="General_R",0.5*VLOOKUP($E12,TeamT[],11,FALSE),IF(VLOOKUP($AN12,AbilityT[],2,FALSE)="Agility_R",0.5*VLOOKUP($E12,TeamT[],12,FALSE),IF(VLOOKUP($AN12,AbilityT[],2,FALSE)="Strength_R",0.5*VLOOKUP($E12,TeamT[],13,FALSE),IF(VLOOKUP($AN12,AbilityT[],2,FALSE)="Passing_R",0.5*VLOOKUP($E12,TeamT[],14,FALSE),IF(VLOOKUP($AN12,AbilityT[],2,FALSE)="Mutation_R",0.5*VLOOKUP($E12,TeamT[],15,FALSE),"ERROR")))))))))))))))+IF($AO12="",0,IF($AO12="+AV",10000,IF(OR($AO12="+MA",$AO12="+PA"),20000,IF($AO12="+AG",40000,IF($AO12="+ST",80000,20000*IF(VLOOKUP($AO12,AbilityT[],2,FALSE)="General",VLOOKUP($E12,TeamT[],11,FALSE),IF(VLOOKUP($AO12,AbilityT[],2,FALSE)="Agility",VLOOKUP($E12,TeamT[],12,FALSE),IF(VLOOKUP($AO12,AbilityT[],2,FALSE)="Strength",VLOOKUP($E12,TeamT[],13,FALSE),IF(VLOOKUP($AO12,AbilityT[],2,FALSE)="Passing",VLOOKUP($E12,TeamT[],14,FALSE),IF(VLOOKUP($AO12,AbilityT[],2,FALSE)="Mutation",VLOOKUP($E12,TeamT[],15,FALSE),IF(VLOOKUP($AO12,AbilityT[],2,FALSE)="General_R",0.5*VLOOKUP($E12,TeamT[],11,FALSE),IF(VLOOKUP($AO12,AbilityT[],2,FALSE)="Agility_R",0.5*VLOOKUP($E12,TeamT[],12,FALSE),IF(VLOOKUP($AO12,AbilityT[],2,FALSE)="Strength_R",0.5*VLOOKUP($E12,TeamT[],13,FALSE),IF(VLOOKUP($AO12,AbilityT[],2,FALSE)="Passing_R",0.5*VLOOKUP($E12,TeamT[],14,FALSE),IF(VLOOKUP($AO12,AbilityT[],2,FALSE)="Mutation_R",0.5*VLOOKUP($E12,TeamT[],15,FALSE),"ERROR"))))))))))))))))+$AC12)</f>
        <v>0</v>
      </c>
      <c r="AC12" s="190"/>
      <c r="AD12" s="193"/>
      <c r="AE12" s="119"/>
      <c r="AF12" s="120"/>
      <c r="AG12" s="120"/>
      <c r="AH12" s="120"/>
      <c r="AI12" s="121"/>
      <c r="AJ12" s="118"/>
      <c r="AK12" s="118"/>
      <c r="AL12" s="118"/>
      <c r="AM12" s="118"/>
      <c r="AN12" s="118"/>
      <c r="AO12" s="118"/>
      <c r="AP12" s="199"/>
      <c r="BC12" s="1" t="e">
        <f>VLOOKUP($E12,TeamT[],5,FALSE)</f>
        <v>#N/A</v>
      </c>
      <c r="BD12" s="1" t="e">
        <f>VLOOKUP($E12,TeamT[],6,FALSE)</f>
        <v>#N/A</v>
      </c>
      <c r="BE12" s="1" t="e">
        <f>VLOOKUP($E12,TeamT[],19,FALSE)</f>
        <v>#N/A</v>
      </c>
      <c r="BF12" s="1" t="e">
        <f>VLOOKUP($E12,TeamT[],20,FALSE)</f>
        <v>#N/A</v>
      </c>
      <c r="BG12" s="1" t="e">
        <f>VLOOKUP($E12,TeamT[],21,FALSE)</f>
        <v>#N/A</v>
      </c>
    </row>
    <row r="13" spans="2:59 1030:1031" ht="34.9" customHeight="1" thickBot="1" x14ac:dyDescent="0.2">
      <c r="B13" s="180">
        <v>9</v>
      </c>
      <c r="C13" s="110"/>
      <c r="D13" s="70">
        <f t="shared" si="1"/>
        <v>0</v>
      </c>
      <c r="E13" s="264"/>
      <c r="F13" s="264"/>
      <c r="G13" s="264"/>
      <c r="H13" s="72" t="str">
        <f>IF($E13&lt;&gt;"",VLOOKUP(E13,TeamT[],4,FALSE),"")</f>
        <v/>
      </c>
      <c r="I13" s="229" t="str">
        <f>IF($E13="","",IF(VLOOKUP($E13,TeamT[],5,FALSE)+COUNTIF($AJ13:$AO13,"=+MA")+$AE13&gt;9,9,IF(VLOOKUP($E13,TeamT[],5,FALSE)+COUNTIF($AJ13:$AO13,"=+MA")+$AE13&lt;1,1,VLOOKUP($E13,TeamT[],5,FALSE)+COUNTIF($AJ13:$AO13,"=+MA")+$AE13)))</f>
        <v/>
      </c>
      <c r="J13" s="230" t="str">
        <f>IF($E13="","",IF(VLOOKUP($E13,TeamT[],6,FALSE)+COUNTIF($AJ13:$AO13,"=+ST")+$AF13&gt;8,8,IF(VLOOKUP($E13,TeamT[],6,FALSE)+COUNTIF($AJ13:$AO13,"=+ST")+$AF13&lt;1,1,VLOOKUP($E13,TeamT[],6,FALSE)+COUNTIF($AJ13:$AO13,"=+ST")+$AF13)))</f>
        <v/>
      </c>
      <c r="K13" s="231" t="str">
        <f>IF($E13="","",IF(VLOOKUP($E13,TeamT[],19,FALSE)-COUNTIF($AJ13:$AO13,"=+AG")-$AG13&gt;6,6,IF(VLOOKUP($E13,TeamT[],19,FALSE)-COUNTIF($AJ13:$AO13,"=+AG")-$AG13&lt;1,1,VLOOKUP($E13,TeamT[],19,FALSE)-COUNTIF($AJ13:$AO13,"=+AG")-$AG13)))</f>
        <v/>
      </c>
      <c r="L13" s="231" t="str">
        <f>IF($E13="","",IF(VLOOKUP($E13,TeamT[],20,FALSE)="-","-",IF(VLOOKUP($E13,TeamT[],20,FALSE)-COUNTIF($AJ13:$AO13,"=+PA")-$AH13&gt;6,6,IF(VLOOKUP($E13,TeamT[],20,FALSE)-COUNTIF($AJ13:$AO13,"=+PA")-$AH13&lt;1,1,VLOOKUP($E13,TeamT[],20,FALSE)-COUNTIF($AJ13:$AO13,"=+PA")-$AH13))))</f>
        <v/>
      </c>
      <c r="M13" s="231" t="str">
        <f>IF($E13="","",IF(VLOOKUP($E13,TeamT[],21,FALSE)+COUNTIF($AJ13:$AO13,"=+AV")+$AI13&gt;11,11,IF(VLOOKUP($E13,TeamT[],21,FALSE)+COUNTIF($AJ13:$AO13,"=+AV")+$AI13&lt;3,3,VLOOKUP($E13,TeamT[],21,FALSE)+COUNTIF($AJ13:$AO13,"=+AV")+$AI13)))</f>
        <v/>
      </c>
      <c r="N13" s="225" t="str">
        <f>IF($E13="","",IF(COUNTIF($E$5:$E$20,$E13)&gt;VLOOKUP($E13,TeamT[],4,FALSE),"ERROR! Too many Player wit same role",(IF(Reces!$BR12&lt;&gt;0,"ERROR! Too many Big Guys!",(IF(Reces!$BT12&lt;&gt;0,"ERROR! Too many Star Players!",VLOOKUP($E13,TeamT[],10,FALSE)))))))</f>
        <v/>
      </c>
      <c r="O13" s="106" t="str">
        <f t="shared" si="2"/>
        <v/>
      </c>
      <c r="P13" s="254"/>
      <c r="Q13" s="254"/>
      <c r="R13" s="183"/>
      <c r="S13" s="183"/>
      <c r="T13" s="183"/>
      <c r="U13" s="183"/>
      <c r="V13" s="183"/>
      <c r="W13" s="183"/>
      <c r="X13" s="184"/>
      <c r="Y13" s="117">
        <f t="shared" si="0"/>
        <v>0</v>
      </c>
      <c r="Z13" s="172">
        <f>IF(LEFT($E13,1)="*","Star",$Y13+IF($AJ13=0,0,IF(OR($AJ13="+MA",$AJ13="+ST",$AJ13="+AG",$AJ13="+PA",$AJ13="+AV"),-18,IF(VLOOKUP($AJ13,AbilityT[],2,FALSE)="General",-6*VLOOKUP($E13,TeamT[],11,FALSE),IF(VLOOKUP($AJ13,AbilityT[],2,FALSE)="Agility",-6*VLOOKUP($E13,TeamT[],12,FALSE),IF(VLOOKUP($AJ13,AbilityT[],2,FALSE)="Strength",-6*VLOOKUP($E13,TeamT[],13,FALSE),IF(VLOOKUP($AJ13,AbilityT[],2,FALSE)="Passing",-6*VLOOKUP($E13,TeamT[],14,FALSE),IF(VLOOKUP($AJ13,AbilityT[],2,FALSE)="Mutation",-6*VLOOKUP($E13,TeamT[],15,FALSE),IF(VLOOKUP($AJ13,AbilityT[],2,FALSE)="General_R",-3*VLOOKUP($E13,TeamT[],11,FALSE),IF(VLOOKUP($AJ13,AbilityT[],2,FALSE)="Agility_R",-3*VLOOKUP($E13,TeamT[],12,FALSE),IF(VLOOKUP($AJ13,AbilityT[],2,FALSE)="Strength_R",-3*VLOOKUP($E13,TeamT[],13,FALSE),IF(VLOOKUP($AJ13,AbilityT[],2,FALSE)="Passing_R",-3*VLOOKUP($E13,TeamT[],14,FALSE),IF(VLOOKUP($AJ13,AbilityT[],2,FALSE)="Mutation_R",-3*VLOOKUP($E13,TeamT[],15,FALSE),"ERROR")))))))))))+IF($AK13=0,0,IF(OR($AK13="+MA",$AK13="+ST",$AK13="+AG",$AK13="+PA",$AK13="+AV"),-20,IF(VLOOKUP($AK13,AbilityT[],2,FALSE)="General",IF(VLOOKUP($E13,TeamT[],11,FALSE)=1,-8*VLOOKUP($E13,TeamT[],11,FALSE),-7*VLOOKUP($E13,TeamT[],11,FALSE)),IF(VLOOKUP($AK13,AbilityT[],2,FALSE)="Agility",IF(VLOOKUP($E13,TeamT[],12,FALSE)=1,-8*VLOOKUP($E13,TeamT[],12,FALSE),-7*VLOOKUP($E13,TeamT[],12,FALSE)),IF(VLOOKUP($AK13,AbilityT[],2,FALSE)="Strength",IF(VLOOKUP($E13,TeamT[],13,FALSE)=1,-8*VLOOKUP($E13,TeamT[],13,FALSE),-7*VLOOKUP($E13,TeamT[],13,FALSE)),IF(VLOOKUP($AK13,AbilityT[],2,FALSE)="Passing",IF(VLOOKUP($E13,TeamT[],14,FALSE)=1,-8*VLOOKUP($E13,TeamT[],14,FALSE),-7*VLOOKUP($E13,TeamT[],14,FALSE)),IF(VLOOKUP($AK13,AbilityT[],2,FALSE)="Mutation",IF(VLOOKUP($E13,TeamT[],15,FALSE)=1,-8*VLOOKUP($E13,TeamT[],15,FALSE),-7*VLOOKUP($E13,TeamT[],15,FALSE)),IF(VLOOKUP($AK13,AbilityT[],2,FALSE)="General_R",-4*VLOOKUP($E13,TeamT[],11,FALSE),IF(VLOOKUP($AK13,AbilityT[],2,FALSE)="Agility_R",-4*VLOOKUP($E13,TeamT[],12,FALSE),IF(VLOOKUP($AK13,AbilityT[],2,FALSE)="Strength_R",-4*VLOOKUP($E13,TeamT[],13,FALSE),IF(VLOOKUP($AK13,AbilityT[],2,FALSE)="Passing_R",-4*VLOOKUP($E13,TeamT[],14,FALSE),IF(VLOOKUP($AK13,AbilityT[],2,FALSE)="Mutation_R",-4*VLOOKUP($E13,TeamT[],15,FALSE),"ERROR"))))))))))))+IF($AL13=0,0,IF(OR($AL13="+MA",$AL13="+ST",$AL13="+AG",$AL13="+PA",$AL13="+AV"),-24,IF(VLOOKUP($AL13,AbilityT[],2,FALSE)="General",IF(VLOOKUP($E13,TeamT[],11,FALSE)=1,-12*VLOOKUP($E13,TeamT[],11,FALSE),-9*VLOOKUP($E13,TeamT[],11,FALSE)),IF(VLOOKUP($AL13,AbilityT[],2,FALSE)="Agility",IF(VLOOKUP($E13,TeamT[],12,FALSE)=1,-12*VLOOKUP($E13,TeamT[],12,FALSE),-9*VLOOKUP($E13,TeamT[],12,FALSE)),IF(VLOOKUP($AL13,AbilityT[],2,FALSE)="Strength",IF(VLOOKUP($E13,TeamT[],13,FALSE)=1,-12*VLOOKUP($E13,TeamT[],13,FALSE),-9*VLOOKUP($E13,TeamT[],13,FALSE)),IF(VLOOKUP($AL13,AbilityT[],2,FALSE)="Passing",IF(VLOOKUP($E13,TeamT[],14,FALSE)=1,-12*VLOOKUP($E13,TeamT[],14,FALSE),-9*VLOOKUP($E13,TeamT[],14,FALSE)),IF(VLOOKUP($AL13,AbilityT[],2,FALSE)="Mutation",IF(VLOOKUP($E13,TeamT[],15,FALSE)=1,-12*VLOOKUP($E13,TeamT[],15,FALSE),-9*VLOOKUP($E13,TeamT[],15,FALSE)),IF(VLOOKUP($AL13,AbilityT[],2,FALSE)="General_R",-6*VLOOKUP($E13,TeamT[],11,FALSE),IF(VLOOKUP($AL13,AbilityT[],2,FALSE)="Agility_R",-6*VLOOKUP($E13,TeamT[],12,FALSE),IF(VLOOKUP($AL13,AbilityT[],2,FALSE)="Strength_R",-6*VLOOKUP($E13,TeamT[],13,FALSE),IF(VLOOKUP($AL13,AbilityT[],2,FALSE)="Passing_R",-6*VLOOKUP($E13,TeamT[],14,FALSE),IF(VLOOKUP($AL13,AbilityT[],2,FALSE)="Mutation_R",-6*VLOOKUP($E13,TeamT[],15,FALSE),"ERROR"))))))))))))+IF($AM13=0,0,IF(OR($AM13="+MA",$AM13="+ST",$AM13="+AG",$AM13="+PA",$AM13="+AV"),-28,IF(VLOOKUP($AM13,AbilityT[],2,FALSE)="General",IF(VLOOKUP($E13,TeamT[],11,FALSE)=1,-16*VLOOKUP($E13,TeamT[],11,FALSE),-11*VLOOKUP($E13,TeamT[],11,FALSE)),IF(VLOOKUP($AM13,AbilityT[],2,FALSE)="Agility",IF(VLOOKUP($E13,TeamT[],12,FALSE)=1,-16*VLOOKUP($E13,TeamT[],12,FALSE),-11*VLOOKUP($E13,TeamT[],12,FALSE)),IF(VLOOKUP($AM13,AbilityT[],2,FALSE)="Strength",IF(VLOOKUP($E13,TeamT[],13,FALSE)=1,-16*VLOOKUP($E13,TeamT[],13,FALSE),-11*VLOOKUP($E13,TeamT[],13,FALSE)),IF(VLOOKUP($AM13,AbilityT[],2,FALSE)="Passing",IF(VLOOKUP($E13,TeamT[],14,FALSE)=1,-16*VLOOKUP($E13,TeamT[],14,FALSE),-11*VLOOKUP($E13,TeamT[],14,FALSE)),IF(VLOOKUP($AM13,AbilityT[],2,FALSE)="Mutation",IF(VLOOKUP($E13,TeamT[],15,FALSE)=1,-16*VLOOKUP($E13,TeamT[],15,FALSE),-11*VLOOKUP($E13,TeamT[],15,FALSE)),IF(VLOOKUP($AM13,AbilityT[],2,FALSE)="General_R",-8*VLOOKUP($E13,TeamT[],11,FALSE),IF(VLOOKUP($AM13,AbilityT[],2,FALSE)="Agility_R",-8*VLOOKUP($E13,TeamT[],12,FALSE),IF(VLOOKUP($AM13,AbilityT[],2,FALSE)="Strength_R",-8*VLOOKUP($E13,TeamT[],13,FALSE),IF(VLOOKUP($AM13,AbilityT[],2,FALSE)="Passing_R",-8*VLOOKUP($E13,TeamT[],14,FALSE),IF(VLOOKUP($AM13,AbilityT[],2,FALSE)="Mutation_R",-8*VLOOKUP($E13,TeamT[],15,FALSE),"ERROR"))))))))))))+IF($AN13=0,0,IF(OR($AN13="+MA",$AN13="+ST",$AN13="+AG",$AN13="+PA",$AN13="+AV"),-32,IF(VLOOKUP($AN13,AbilityT[],2,FALSE)="General",IF(VLOOKUP($E13,TeamT[],11,FALSE)=1,-20*VLOOKUP($E13,TeamT[],11,FALSE),-13*VLOOKUP($E13,TeamT[],11,FALSE)),IF(VLOOKUP($AN13,AbilityT[],2,FALSE)="Agility",IF(VLOOKUP($E13,TeamT[],12,FALSE)=1,-20*VLOOKUP($E13,TeamT[],12,FALSE),-13*VLOOKUP($E13,TeamT[],12,FALSE)),IF(VLOOKUP($AN13,AbilityT[],2,FALSE)="Strength",IF(VLOOKUP($E13,TeamT[],13,FALSE)=1,-20*VLOOKUP($E13,TeamT[],13,FALSE),-13*VLOOKUP($E13,TeamT[],13,FALSE)),IF(VLOOKUP($AN13,AbilityT[],2,FALSE)="Passing",IF(VLOOKUP($E13,TeamT[],14,FALSE)=1,-20*VLOOKUP($E13,TeamT[],14,FALSE),-13*VLOOKUP($E13,TeamT[],14,FALSE)),IF(VLOOKUP($AN13,AbilityT[],2,FALSE)="Mutation",IF(VLOOKUP($E13,TeamT[],15,FALSE)=1,-20*VLOOKUP($E13,TeamT[],15,FALSE),-13*VLOOKUP($E13,TeamT[],15,FALSE)),IF(VLOOKUP($AN13,AbilityT[],2,FALSE)="General_R",-10*VLOOKUP($E13,TeamT[],11,FALSE),IF(VLOOKUP($AN13,AbilityT[],2,FALSE)="Agility_R",-10*VLOOKUP($E13,TeamT[],12,FALSE),IF(VLOOKUP($AN13,AbilityT[],2,FALSE)="Strength_R",-10*VLOOKUP($E13,TeamT[],13,FALSE),IF(VLOOKUP($AN13,AbilityT[],2,FALSE)="Passing_R",-10*VLOOKUP($E13,TeamT[],14,FALSE),IF(VLOOKUP($AN13,AbilityT[],2,FALSE)="Mutation_R",-10*VLOOKUP($E13,TeamT[],15,FALSE),"ERROR"))))))))))))+IF($AO13=0,0,IF(OR($AO13="+MA",$AO13="+ST",$AO13="+AG",$AO13="+PA",$AO13="+AV"),-50,IF(VLOOKUP($AO13,AbilityT[],2,FALSE)="General",IF(VLOOKUP($E13,TeamT[],11,FALSE)=1,-30*VLOOKUP($E13,TeamT[],11,FALSE),-20*VLOOKUP($E13,TeamT[],11,FALSE)),IF(VLOOKUP($AO13,AbilityT[],2,FALSE)="Agility",IF(VLOOKUP($E13,TeamT[],12,FALSE)=1,-30*VLOOKUP($E13,TeamT[],12,FALSE),-20*VLOOKUP($E13,TeamT[],12,FALSE)),IF(VLOOKUP($AO13,AbilityT[],2,FALSE)="Strength",IF(VLOOKUP($E13,TeamT[],13,FALSE)=1,-30*VLOOKUP($E13,TeamT[],13,FALSE),-20*VLOOKUP($E13,TeamT[],13,FALSE)),IF(VLOOKUP($AO13,AbilityT[],2,FALSE)="Passing",IF(VLOOKUP($E13,TeamT[],14,FALSE)=1,-30*VLOOKUP($E13,TeamT[],14,FALSE),-20*VLOOKUP($E13,TeamT[],14,FALSE)),IF(VLOOKUP($AO13,AbilityT[],2,FALSE)="Mutation",IF(VLOOKUP($E13,TeamT[],15,FALSE)=1,-30*VLOOKUP($E13,TeamT[],15,FALSE),-20*VLOOKUP($E13,TeamT[],15,FALSE)),IF(VLOOKUP($AO13,AbilityT[],2,FALSE)="General_R",-15*VLOOKUP($E13,TeamT[],11,FALSE),IF(VLOOKUP($AO13,AbilityT[],2,FALSE)="Agility_R",-15*VLOOKUP($E13,TeamT[],12,FALSE),IF(VLOOKUP($AO13,AbilityT[],2,FALSE)="Strength_R",-15*VLOOKUP($E13,TeamT[],13,FALSE),IF(VLOOKUP($AO13,AbilityT[],2,FALSE)="Passing_R",-15*VLOOKUP($E13,TeamT[],14,FALSE),IF(VLOOKUP($AO13,AbilityT[],2,FALSE)="Mutation_R",-15*VLOOKUP($E13,TeamT[],15,FALSE),"ERROR")))))))))))))+IF($AA13&lt;=5,-6*$AA13,-6*$AA13-4))</f>
        <v>0</v>
      </c>
      <c r="AA13" s="188"/>
      <c r="AB13" s="115">
        <f>IF($E13="",0,VLOOKUP($E13,TeamT[],3,FALSE)+IF($O$28="Tournament Setup",0,IF($AJ13="",0,IF($AJ13="+AV",10000,IF(OR($AJ13="+MA",$AJ13="+PA"),20000,IF($AJ13="+AG",40000,IF($AJ13="+ST",80000,20000*IF(VLOOKUP($AJ13,AbilityT[],2,FALSE)="General",VLOOKUP($E13,TeamT[],11,FALSE),IF(VLOOKUP($AJ13,AbilityT[],2,FALSE)="Agility",VLOOKUP($E13,TeamT[],12,FALSE),IF(VLOOKUP($AJ13,AbilityT[],2,FALSE)="Strength",VLOOKUP($E13,TeamT[],13,FALSE),IF(VLOOKUP($AJ13,AbilityT[],2,FALSE)="Passing",VLOOKUP($E13,TeamT[],14,FALSE),IF(VLOOKUP($AJ13,AbilityT[],2,FALSE)="Mutation",VLOOKUP($E13,TeamT[],15,FALSE),IF(VLOOKUP($AJ13,AbilityT[],2,FALSE)="General_R",0.5*VLOOKUP($E13,TeamT[],11,FALSE),IF(VLOOKUP($AJ13,AbilityT[],2,FALSE)="Agility_R",0.5*VLOOKUP($E13,TeamT[],12,FALSE),IF(VLOOKUP($AJ13,AbilityT[],2,FALSE)="Strength_R",0.5*VLOOKUP($E13,TeamT[],13,FALSE),IF(VLOOKUP($AJ13,AbilityT[],2,FALSE)="Passing_R",0.5*VLOOKUP($E13,TeamT[],14,FALSE),IF(VLOOKUP($AJ13,AbilityT[],2,FALSE)="Mutation_R",0.5*VLOOKUP($E13,TeamT[],15,FALSE),"ERROR")))))))))))))))+IF($AK13="",0,IF($AK13="+AV",10000,IF(OR($AK13="+MA",$AK13="+PA"),20000,IF($AK13="+AG",40000,IF($AK13="+ST",80000,20000*IF(VLOOKUP($AK13,AbilityT[],2,FALSE)="General",VLOOKUP($E13,TeamT[],11,FALSE),IF(VLOOKUP($AK13,AbilityT[],2,FALSE)="Agility",VLOOKUP($E13,TeamT[],12,FALSE),IF(VLOOKUP($AK13,AbilityT[],2,FALSE)="Strength",VLOOKUP($E13,TeamT[],13,FALSE),IF(VLOOKUP($AK13,AbilityT[],2,FALSE)="Passing",VLOOKUP($E13,TeamT[],14,FALSE),IF(VLOOKUP($AK13,AbilityT[],2,FALSE)="Mutation",VLOOKUP($E13,TeamT[],15,FALSE),IF(VLOOKUP($AK13,AbilityT[],2,FALSE)="General_R",0.5*VLOOKUP($E13,TeamT[],11,FALSE),IF(VLOOKUP($AK13,AbilityT[],2,FALSE)="Agility_R",0.5*VLOOKUP($E13,TeamT[],12,FALSE),IF(VLOOKUP($AK13,AbilityT[],2,FALSE)="Strength_R",0.5*VLOOKUP($E13,TeamT[],13,FALSE),IF(VLOOKUP($AK13,AbilityT[],2,FALSE)="Passing_R",0.5*VLOOKUP($E13,TeamT[],14,FALSE),IF(VLOOKUP($AK13,AbilityT[],2,FALSE)="Mutation_R",0.5*VLOOKUP($E13,TeamT[],15,FALSE),"ERROR")))))))))))))))+IF($AL13="",0,IF($AL13="+AV",10000,IF(OR($AL13="+MA",$AL13="+PA"),20000,IF($AL13="+AG",40000,IF($AL13="+ST",80000,20000*IF(VLOOKUP($AL13,AbilityT[],2,FALSE)="General",VLOOKUP($E13,TeamT[],11,FALSE),IF(VLOOKUP($AL13,AbilityT[],2,FALSE)="Agility",VLOOKUP($E13,TeamT[],12,FALSE),IF(VLOOKUP($AL13,AbilityT[],2,FALSE)="Strength",VLOOKUP($E13,TeamT[],13,FALSE),IF(VLOOKUP($AL13,AbilityT[],2,FALSE)="Passing",VLOOKUP($E13,TeamT[],14,FALSE),IF(VLOOKUP($AL13,AbilityT[],2,FALSE)="Mutation",VLOOKUP($E13,TeamT[],15,FALSE),IF(VLOOKUP($AL13,AbilityT[],2,FALSE)="General_R",0.5*VLOOKUP($E13,TeamT[],11,FALSE),IF(VLOOKUP($AL13,AbilityT[],2,FALSE)="Agility_R",0.5*VLOOKUP($E13,TeamT[],12,FALSE),IF(VLOOKUP($AL13,AbilityT[],2,FALSE)="Strength_R",0.5*VLOOKUP($E13,TeamT[],13,FALSE),IF(VLOOKUP($AL13,AbilityT[],2,FALSE)="Passing_R",0.5*VLOOKUP($E13,TeamT[],14,FALSE),IF(VLOOKUP($AL13,AbilityT[],2,FALSE)="Mutation_R",0.5*VLOOKUP($E13,TeamT[],15,FALSE),"ERROR")))))))))))))))+IF($AM13="",0,IF($AM13="+AV",10000,IF(OR($AM13="+MA",$AM13="+PA"),20000,IF($AM13="+AG",40000,IF($AM13="+ST",80000,20000*IF(VLOOKUP($AM13,AbilityT[],2,FALSE)="General",VLOOKUP($E13,TeamT[],11,FALSE),IF(VLOOKUP($AM13,AbilityT[],2,FALSE)="Agility",VLOOKUP($E13,TeamT[],12,FALSE),IF(VLOOKUP($AM13,AbilityT[],2,FALSE)="Strength",VLOOKUP($E13,TeamT[],13,FALSE),IF(VLOOKUP($AM13,AbilityT[],2,FALSE)="Passing",VLOOKUP($E13,TeamT[],14,FALSE),IF(VLOOKUP($AM13,AbilityT[],2,FALSE)="Mutation",VLOOKUP($E13,TeamT[],15,FALSE),IF(VLOOKUP($AM13,AbilityT[],2,FALSE)="General_R",0.5*VLOOKUP($E13,TeamT[],11,FALSE),IF(VLOOKUP($AM13,AbilityT[],2,FALSE)="Agility_R",0.5*VLOOKUP($E13,TeamT[],12,FALSE),IF(VLOOKUP($AM13,AbilityT[],2,FALSE)="Strength_R",0.5*VLOOKUP($E13,TeamT[],13,FALSE),IF(VLOOKUP($AM13,AbilityT[],2,FALSE)="Passing_R",0.5*VLOOKUP($E13,TeamT[],14,FALSE),IF(VLOOKUP($AM13,AbilityT[],2,FALSE)="Mutation_R",0.5*VLOOKUP($E13,TeamT[],15,FALSE),"ERROR")))))))))))))))+IF($AN13="",0,IF($AN13="+AV",10000,IF(OR($AN13="+MA",$AN13="+PA"),20000,IF($AN13="+AG",40000,IF($AN13="+ST",80000,20000*IF(VLOOKUP($AN13,AbilityT[],2,FALSE)="General",VLOOKUP($E13,TeamT[],11,FALSE),IF(VLOOKUP($AN13,AbilityT[],2,FALSE)="Agility",VLOOKUP($E13,TeamT[],12,FALSE),IF(VLOOKUP($AN13,AbilityT[],2,FALSE)="Strength",VLOOKUP($E13,TeamT[],13,FALSE),IF(VLOOKUP($AN13,AbilityT[],2,FALSE)="Passing",VLOOKUP($E13,TeamT[],14,FALSE),IF(VLOOKUP($AN13,AbilityT[],2,FALSE)="Mutation",VLOOKUP($E13,TeamT[],15,FALSE),IF(VLOOKUP($AN13,AbilityT[],2,FALSE)="General_R",0.5*VLOOKUP($E13,TeamT[],11,FALSE),IF(VLOOKUP($AN13,AbilityT[],2,FALSE)="Agility_R",0.5*VLOOKUP($E13,TeamT[],12,FALSE),IF(VLOOKUP($AN13,AbilityT[],2,FALSE)="Strength_R",0.5*VLOOKUP($E13,TeamT[],13,FALSE),IF(VLOOKUP($AN13,AbilityT[],2,FALSE)="Passing_R",0.5*VLOOKUP($E13,TeamT[],14,FALSE),IF(VLOOKUP($AN13,AbilityT[],2,FALSE)="Mutation_R",0.5*VLOOKUP($E13,TeamT[],15,FALSE),"ERROR")))))))))))))))+IF($AO13="",0,IF($AO13="+AV",10000,IF(OR($AO13="+MA",$AO13="+PA"),20000,IF($AO13="+AG",40000,IF($AO13="+ST",80000,20000*IF(VLOOKUP($AO13,AbilityT[],2,FALSE)="General",VLOOKUP($E13,TeamT[],11,FALSE),IF(VLOOKUP($AO13,AbilityT[],2,FALSE)="Agility",VLOOKUP($E13,TeamT[],12,FALSE),IF(VLOOKUP($AO13,AbilityT[],2,FALSE)="Strength",VLOOKUP($E13,TeamT[],13,FALSE),IF(VLOOKUP($AO13,AbilityT[],2,FALSE)="Passing",VLOOKUP($E13,TeamT[],14,FALSE),IF(VLOOKUP($AO13,AbilityT[],2,FALSE)="Mutation",VLOOKUP($E13,TeamT[],15,FALSE),IF(VLOOKUP($AO13,AbilityT[],2,FALSE)="General_R",0.5*VLOOKUP($E13,TeamT[],11,FALSE),IF(VLOOKUP($AO13,AbilityT[],2,FALSE)="Agility_R",0.5*VLOOKUP($E13,TeamT[],12,FALSE),IF(VLOOKUP($AO13,AbilityT[],2,FALSE)="Strength_R",0.5*VLOOKUP($E13,TeamT[],13,FALSE),IF(VLOOKUP($AO13,AbilityT[],2,FALSE)="Passing_R",0.5*VLOOKUP($E13,TeamT[],14,FALSE),IF(VLOOKUP($AO13,AbilityT[],2,FALSE)="Mutation_R",0.5*VLOOKUP($E13,TeamT[],15,FALSE),"ERROR"))))))))))))))))+$AC13)</f>
        <v>0</v>
      </c>
      <c r="AC13" s="190"/>
      <c r="AD13" s="193"/>
      <c r="AE13" s="119"/>
      <c r="AF13" s="120"/>
      <c r="AG13" s="120"/>
      <c r="AH13" s="120"/>
      <c r="AI13" s="121"/>
      <c r="AJ13" s="118"/>
      <c r="AK13" s="118"/>
      <c r="AL13" s="118"/>
      <c r="AM13" s="118"/>
      <c r="AN13" s="118"/>
      <c r="AO13" s="118"/>
      <c r="AP13" s="199"/>
      <c r="BC13" s="1" t="e">
        <f>VLOOKUP($E13,TeamT[],5,FALSE)</f>
        <v>#N/A</v>
      </c>
      <c r="BD13" s="1" t="e">
        <f>VLOOKUP($E13,TeamT[],6,FALSE)</f>
        <v>#N/A</v>
      </c>
      <c r="BE13" s="1" t="e">
        <f>VLOOKUP($E13,TeamT[],19,FALSE)</f>
        <v>#N/A</v>
      </c>
      <c r="BF13" s="1" t="e">
        <f>VLOOKUP($E13,TeamT[],20,FALSE)</f>
        <v>#N/A</v>
      </c>
      <c r="BG13" s="1" t="e">
        <f>VLOOKUP($E13,TeamT[],21,FALSE)</f>
        <v>#N/A</v>
      </c>
    </row>
    <row r="14" spans="2:59 1030:1031" ht="34.9" customHeight="1" thickBot="1" x14ac:dyDescent="0.2">
      <c r="B14" s="180">
        <v>10</v>
      </c>
      <c r="C14" s="110"/>
      <c r="D14" s="70">
        <f t="shared" si="1"/>
        <v>0</v>
      </c>
      <c r="E14" s="264"/>
      <c r="F14" s="264"/>
      <c r="G14" s="264"/>
      <c r="H14" s="72" t="str">
        <f>IF($E14&lt;&gt;"",VLOOKUP(E14,TeamT[],4,FALSE),"")</f>
        <v/>
      </c>
      <c r="I14" s="229" t="str">
        <f>IF($E14="","",IF(VLOOKUP($E14,TeamT[],5,FALSE)+COUNTIF($AJ14:$AO14,"=+MA")+$AE14&gt;9,9,IF(VLOOKUP($E14,TeamT[],5,FALSE)+COUNTIF($AJ14:$AO14,"=+MA")+$AE14&lt;1,1,VLOOKUP($E14,TeamT[],5,FALSE)+COUNTIF($AJ14:$AO14,"=+MA")+$AE14)))</f>
        <v/>
      </c>
      <c r="J14" s="230" t="str">
        <f>IF($E14="","",IF(VLOOKUP($E14,TeamT[],6,FALSE)+COUNTIF($AJ14:$AO14,"=+ST")+$AF14&gt;8,8,IF(VLOOKUP($E14,TeamT[],6,FALSE)+COUNTIF($AJ14:$AO14,"=+ST")+$AF14&lt;1,1,VLOOKUP($E14,TeamT[],6,FALSE)+COUNTIF($AJ14:$AO14,"=+ST")+$AF14)))</f>
        <v/>
      </c>
      <c r="K14" s="231" t="str">
        <f>IF($E14="","",IF(VLOOKUP($E14,TeamT[],19,FALSE)-COUNTIF($AJ14:$AO14,"=+AG")-$AG14&gt;6,6,IF(VLOOKUP($E14,TeamT[],19,FALSE)-COUNTIF($AJ14:$AO14,"=+AG")-$AG14&lt;1,1,VLOOKUP($E14,TeamT[],19,FALSE)-COUNTIF($AJ14:$AO14,"=+AG")-$AG14)))</f>
        <v/>
      </c>
      <c r="L14" s="231" t="str">
        <f>IF($E14="","",IF(VLOOKUP($E14,TeamT[],20,FALSE)="-","-",IF(VLOOKUP($E14,TeamT[],20,FALSE)-COUNTIF($AJ14:$AO14,"=+PA")-$AH14&gt;6,6,IF(VLOOKUP($E14,TeamT[],20,FALSE)-COUNTIF($AJ14:$AO14,"=+PA")-$AH14&lt;1,1,VLOOKUP($E14,TeamT[],20,FALSE)-COUNTIF($AJ14:$AO14,"=+PA")-$AH14))))</f>
        <v/>
      </c>
      <c r="M14" s="231" t="str">
        <f>IF($E14="","",IF(VLOOKUP($E14,TeamT[],21,FALSE)+COUNTIF($AJ14:$AO14,"=+AV")+$AI14&gt;11,11,IF(VLOOKUP($E14,TeamT[],21,FALSE)+COUNTIF($AJ14:$AO14,"=+AV")+$AI14&lt;3,3,VLOOKUP($E14,TeamT[],21,FALSE)+COUNTIF($AJ14:$AO14,"=+AV")+$AI14)))</f>
        <v/>
      </c>
      <c r="N14" s="225" t="str">
        <f>IF($E14="","",IF(COUNTIF($E$5:$E$20,$E14)&gt;VLOOKUP($E14,TeamT[],4,FALSE),"ERROR! Too many Player wit same role",(IF(Reces!$BR13&lt;&gt;0,"ERROR! Too many Big Guys!",(IF(Reces!$BT13&lt;&gt;0,"ERROR! Too many Star Players!",VLOOKUP($E14,TeamT[],10,FALSE)))))))</f>
        <v/>
      </c>
      <c r="O14" s="106" t="str">
        <f t="shared" si="2"/>
        <v/>
      </c>
      <c r="P14" s="254"/>
      <c r="Q14" s="254"/>
      <c r="R14" s="183"/>
      <c r="S14" s="183"/>
      <c r="T14" s="183"/>
      <c r="U14" s="183"/>
      <c r="V14" s="183"/>
      <c r="W14" s="183"/>
      <c r="X14" s="184"/>
      <c r="Y14" s="117">
        <f t="shared" si="0"/>
        <v>0</v>
      </c>
      <c r="Z14" s="172">
        <f>IF(LEFT($E14,1)="*","Star",$Y14+IF($AJ14=0,0,IF(OR($AJ14="+MA",$AJ14="+ST",$AJ14="+AG",$AJ14="+PA",$AJ14="+AV"),-18,IF(VLOOKUP($AJ14,AbilityT[],2,FALSE)="General",-6*VLOOKUP($E14,TeamT[],11,FALSE),IF(VLOOKUP($AJ14,AbilityT[],2,FALSE)="Agility",-6*VLOOKUP($E14,TeamT[],12,FALSE),IF(VLOOKUP($AJ14,AbilityT[],2,FALSE)="Strength",-6*VLOOKUP($E14,TeamT[],13,FALSE),IF(VLOOKUP($AJ14,AbilityT[],2,FALSE)="Passing",-6*VLOOKUP($E14,TeamT[],14,FALSE),IF(VLOOKUP($AJ14,AbilityT[],2,FALSE)="Mutation",-6*VLOOKUP($E14,TeamT[],15,FALSE),IF(VLOOKUP($AJ14,AbilityT[],2,FALSE)="General_R",-3*VLOOKUP($E14,TeamT[],11,FALSE),IF(VLOOKUP($AJ14,AbilityT[],2,FALSE)="Agility_R",-3*VLOOKUP($E14,TeamT[],12,FALSE),IF(VLOOKUP($AJ14,AbilityT[],2,FALSE)="Strength_R",-3*VLOOKUP($E14,TeamT[],13,FALSE),IF(VLOOKUP($AJ14,AbilityT[],2,FALSE)="Passing_R",-3*VLOOKUP($E14,TeamT[],14,FALSE),IF(VLOOKUP($AJ14,AbilityT[],2,FALSE)="Mutation_R",-3*VLOOKUP($E14,TeamT[],15,FALSE),"ERROR")))))))))))+IF($AK14=0,0,IF(OR($AK14="+MA",$AK14="+ST",$AK14="+AG",$AK14="+PA",$AK14="+AV"),-20,IF(VLOOKUP($AK14,AbilityT[],2,FALSE)="General",IF(VLOOKUP($E14,TeamT[],11,FALSE)=1,-8*VLOOKUP($E14,TeamT[],11,FALSE),-7*VLOOKUP($E14,TeamT[],11,FALSE)),IF(VLOOKUP($AK14,AbilityT[],2,FALSE)="Agility",IF(VLOOKUP($E14,TeamT[],12,FALSE)=1,-8*VLOOKUP($E14,TeamT[],12,FALSE),-7*VLOOKUP($E14,TeamT[],12,FALSE)),IF(VLOOKUP($AK14,AbilityT[],2,FALSE)="Strength",IF(VLOOKUP($E14,TeamT[],13,FALSE)=1,-8*VLOOKUP($E14,TeamT[],13,FALSE),-7*VLOOKUP($E14,TeamT[],13,FALSE)),IF(VLOOKUP($AK14,AbilityT[],2,FALSE)="Passing",IF(VLOOKUP($E14,TeamT[],14,FALSE)=1,-8*VLOOKUP($E14,TeamT[],14,FALSE),-7*VLOOKUP($E14,TeamT[],14,FALSE)),IF(VLOOKUP($AK14,AbilityT[],2,FALSE)="Mutation",IF(VLOOKUP($E14,TeamT[],15,FALSE)=1,-8*VLOOKUP($E14,TeamT[],15,FALSE),-7*VLOOKUP($E14,TeamT[],15,FALSE)),IF(VLOOKUP($AK14,AbilityT[],2,FALSE)="General_R",-4*VLOOKUP($E14,TeamT[],11,FALSE),IF(VLOOKUP($AK14,AbilityT[],2,FALSE)="Agility_R",-4*VLOOKUP($E14,TeamT[],12,FALSE),IF(VLOOKUP($AK14,AbilityT[],2,FALSE)="Strength_R",-4*VLOOKUP($E14,TeamT[],13,FALSE),IF(VLOOKUP($AK14,AbilityT[],2,FALSE)="Passing_R",-4*VLOOKUP($E14,TeamT[],14,FALSE),IF(VLOOKUP($AK14,AbilityT[],2,FALSE)="Mutation_R",-4*VLOOKUP($E14,TeamT[],15,FALSE),"ERROR"))))))))))))+IF($AL14=0,0,IF(OR($AL14="+MA",$AL14="+ST",$AL14="+AG",$AL14="+PA",$AL14="+AV"),-24,IF(VLOOKUP($AL14,AbilityT[],2,FALSE)="General",IF(VLOOKUP($E14,TeamT[],11,FALSE)=1,-12*VLOOKUP($E14,TeamT[],11,FALSE),-9*VLOOKUP($E14,TeamT[],11,FALSE)),IF(VLOOKUP($AL14,AbilityT[],2,FALSE)="Agility",IF(VLOOKUP($E14,TeamT[],12,FALSE)=1,-12*VLOOKUP($E14,TeamT[],12,FALSE),-9*VLOOKUP($E14,TeamT[],12,FALSE)),IF(VLOOKUP($AL14,AbilityT[],2,FALSE)="Strength",IF(VLOOKUP($E14,TeamT[],13,FALSE)=1,-12*VLOOKUP($E14,TeamT[],13,FALSE),-9*VLOOKUP($E14,TeamT[],13,FALSE)),IF(VLOOKUP($AL14,AbilityT[],2,FALSE)="Passing",IF(VLOOKUP($E14,TeamT[],14,FALSE)=1,-12*VLOOKUP($E14,TeamT[],14,FALSE),-9*VLOOKUP($E14,TeamT[],14,FALSE)),IF(VLOOKUP($AL14,AbilityT[],2,FALSE)="Mutation",IF(VLOOKUP($E14,TeamT[],15,FALSE)=1,-12*VLOOKUP($E14,TeamT[],15,FALSE),-9*VLOOKUP($E14,TeamT[],15,FALSE)),IF(VLOOKUP($AL14,AbilityT[],2,FALSE)="General_R",-6*VLOOKUP($E14,TeamT[],11,FALSE),IF(VLOOKUP($AL14,AbilityT[],2,FALSE)="Agility_R",-6*VLOOKUP($E14,TeamT[],12,FALSE),IF(VLOOKUP($AL14,AbilityT[],2,FALSE)="Strength_R",-6*VLOOKUP($E14,TeamT[],13,FALSE),IF(VLOOKUP($AL14,AbilityT[],2,FALSE)="Passing_R",-6*VLOOKUP($E14,TeamT[],14,FALSE),IF(VLOOKUP($AL14,AbilityT[],2,FALSE)="Mutation_R",-6*VLOOKUP($E14,TeamT[],15,FALSE),"ERROR"))))))))))))+IF($AM14=0,0,IF(OR($AM14="+MA",$AM14="+ST",$AM14="+AG",$AM14="+PA",$AM14="+AV"),-28,IF(VLOOKUP($AM14,AbilityT[],2,FALSE)="General",IF(VLOOKUP($E14,TeamT[],11,FALSE)=1,-16*VLOOKUP($E14,TeamT[],11,FALSE),-11*VLOOKUP($E14,TeamT[],11,FALSE)),IF(VLOOKUP($AM14,AbilityT[],2,FALSE)="Agility",IF(VLOOKUP($E14,TeamT[],12,FALSE)=1,-16*VLOOKUP($E14,TeamT[],12,FALSE),-11*VLOOKUP($E14,TeamT[],12,FALSE)),IF(VLOOKUP($AM14,AbilityT[],2,FALSE)="Strength",IF(VLOOKUP($E14,TeamT[],13,FALSE)=1,-16*VLOOKUP($E14,TeamT[],13,FALSE),-11*VLOOKUP($E14,TeamT[],13,FALSE)),IF(VLOOKUP($AM14,AbilityT[],2,FALSE)="Passing",IF(VLOOKUP($E14,TeamT[],14,FALSE)=1,-16*VLOOKUP($E14,TeamT[],14,FALSE),-11*VLOOKUP($E14,TeamT[],14,FALSE)),IF(VLOOKUP($AM14,AbilityT[],2,FALSE)="Mutation",IF(VLOOKUP($E14,TeamT[],15,FALSE)=1,-16*VLOOKUP($E14,TeamT[],15,FALSE),-11*VLOOKUP($E14,TeamT[],15,FALSE)),IF(VLOOKUP($AM14,AbilityT[],2,FALSE)="General_R",-8*VLOOKUP($E14,TeamT[],11,FALSE),IF(VLOOKUP($AM14,AbilityT[],2,FALSE)="Agility_R",-8*VLOOKUP($E14,TeamT[],12,FALSE),IF(VLOOKUP($AM14,AbilityT[],2,FALSE)="Strength_R",-8*VLOOKUP($E14,TeamT[],13,FALSE),IF(VLOOKUP($AM14,AbilityT[],2,FALSE)="Passing_R",-8*VLOOKUP($E14,TeamT[],14,FALSE),IF(VLOOKUP($AM14,AbilityT[],2,FALSE)="Mutation_R",-8*VLOOKUP($E14,TeamT[],15,FALSE),"ERROR"))))))))))))+IF($AN14=0,0,IF(OR($AN14="+MA",$AN14="+ST",$AN14="+AG",$AN14="+PA",$AN14="+AV"),-32,IF(VLOOKUP($AN14,AbilityT[],2,FALSE)="General",IF(VLOOKUP($E14,TeamT[],11,FALSE)=1,-20*VLOOKUP($E14,TeamT[],11,FALSE),-13*VLOOKUP($E14,TeamT[],11,FALSE)),IF(VLOOKUP($AN14,AbilityT[],2,FALSE)="Agility",IF(VLOOKUP($E14,TeamT[],12,FALSE)=1,-20*VLOOKUP($E14,TeamT[],12,FALSE),-13*VLOOKUP($E14,TeamT[],12,FALSE)),IF(VLOOKUP($AN14,AbilityT[],2,FALSE)="Strength",IF(VLOOKUP($E14,TeamT[],13,FALSE)=1,-20*VLOOKUP($E14,TeamT[],13,FALSE),-13*VLOOKUP($E14,TeamT[],13,FALSE)),IF(VLOOKUP($AN14,AbilityT[],2,FALSE)="Passing",IF(VLOOKUP($E14,TeamT[],14,FALSE)=1,-20*VLOOKUP($E14,TeamT[],14,FALSE),-13*VLOOKUP($E14,TeamT[],14,FALSE)),IF(VLOOKUP($AN14,AbilityT[],2,FALSE)="Mutation",IF(VLOOKUP($E14,TeamT[],15,FALSE)=1,-20*VLOOKUP($E14,TeamT[],15,FALSE),-13*VLOOKUP($E14,TeamT[],15,FALSE)),IF(VLOOKUP($AN14,AbilityT[],2,FALSE)="General_R",-10*VLOOKUP($E14,TeamT[],11,FALSE),IF(VLOOKUP($AN14,AbilityT[],2,FALSE)="Agility_R",-10*VLOOKUP($E14,TeamT[],12,FALSE),IF(VLOOKUP($AN14,AbilityT[],2,FALSE)="Strength_R",-10*VLOOKUP($E14,TeamT[],13,FALSE),IF(VLOOKUP($AN14,AbilityT[],2,FALSE)="Passing_R",-10*VLOOKUP($E14,TeamT[],14,FALSE),IF(VLOOKUP($AN14,AbilityT[],2,FALSE)="Mutation_R",-10*VLOOKUP($E14,TeamT[],15,FALSE),"ERROR"))))))))))))+IF($AO14=0,0,IF(OR($AO14="+MA",$AO14="+ST",$AO14="+AG",$AO14="+PA",$AO14="+AV"),-50,IF(VLOOKUP($AO14,AbilityT[],2,FALSE)="General",IF(VLOOKUP($E14,TeamT[],11,FALSE)=1,-30*VLOOKUP($E14,TeamT[],11,FALSE),-20*VLOOKUP($E14,TeamT[],11,FALSE)),IF(VLOOKUP($AO14,AbilityT[],2,FALSE)="Agility",IF(VLOOKUP($E14,TeamT[],12,FALSE)=1,-30*VLOOKUP($E14,TeamT[],12,FALSE),-20*VLOOKUP($E14,TeamT[],12,FALSE)),IF(VLOOKUP($AO14,AbilityT[],2,FALSE)="Strength",IF(VLOOKUP($E14,TeamT[],13,FALSE)=1,-30*VLOOKUP($E14,TeamT[],13,FALSE),-20*VLOOKUP($E14,TeamT[],13,FALSE)),IF(VLOOKUP($AO14,AbilityT[],2,FALSE)="Passing",IF(VLOOKUP($E14,TeamT[],14,FALSE)=1,-30*VLOOKUP($E14,TeamT[],14,FALSE),-20*VLOOKUP($E14,TeamT[],14,FALSE)),IF(VLOOKUP($AO14,AbilityT[],2,FALSE)="Mutation",IF(VLOOKUP($E14,TeamT[],15,FALSE)=1,-30*VLOOKUP($E14,TeamT[],15,FALSE),-20*VLOOKUP($E14,TeamT[],15,FALSE)),IF(VLOOKUP($AO14,AbilityT[],2,FALSE)="General_R",-15*VLOOKUP($E14,TeamT[],11,FALSE),IF(VLOOKUP($AO14,AbilityT[],2,FALSE)="Agility_R",-15*VLOOKUP($E14,TeamT[],12,FALSE),IF(VLOOKUP($AO14,AbilityT[],2,FALSE)="Strength_R",-15*VLOOKUP($E14,TeamT[],13,FALSE),IF(VLOOKUP($AO14,AbilityT[],2,FALSE)="Passing_R",-15*VLOOKUP($E14,TeamT[],14,FALSE),IF(VLOOKUP($AO14,AbilityT[],2,FALSE)="Mutation_R",-15*VLOOKUP($E14,TeamT[],15,FALSE),"ERROR")))))))))))))+IF($AA14&lt;=5,-6*$AA14,-6*$AA14-4))</f>
        <v>0</v>
      </c>
      <c r="AA14" s="188"/>
      <c r="AB14" s="115">
        <f>IF($E14="",0,VLOOKUP($E14,TeamT[],3,FALSE)+IF($O$28="Tournament Setup",0,IF($AJ14="",0,IF($AJ14="+AV",10000,IF(OR($AJ14="+MA",$AJ14="+PA"),20000,IF($AJ14="+AG",40000,IF($AJ14="+ST",80000,20000*IF(VLOOKUP($AJ14,AbilityT[],2,FALSE)="General",VLOOKUP($E14,TeamT[],11,FALSE),IF(VLOOKUP($AJ14,AbilityT[],2,FALSE)="Agility",VLOOKUP($E14,TeamT[],12,FALSE),IF(VLOOKUP($AJ14,AbilityT[],2,FALSE)="Strength",VLOOKUP($E14,TeamT[],13,FALSE),IF(VLOOKUP($AJ14,AbilityT[],2,FALSE)="Passing",VLOOKUP($E14,TeamT[],14,FALSE),IF(VLOOKUP($AJ14,AbilityT[],2,FALSE)="Mutation",VLOOKUP($E14,TeamT[],15,FALSE),IF(VLOOKUP($AJ14,AbilityT[],2,FALSE)="General_R",0.5*VLOOKUP($E14,TeamT[],11,FALSE),IF(VLOOKUP($AJ14,AbilityT[],2,FALSE)="Agility_R",0.5*VLOOKUP($E14,TeamT[],12,FALSE),IF(VLOOKUP($AJ14,AbilityT[],2,FALSE)="Strength_R",0.5*VLOOKUP($E14,TeamT[],13,FALSE),IF(VLOOKUP($AJ14,AbilityT[],2,FALSE)="Passing_R",0.5*VLOOKUP($E14,TeamT[],14,FALSE),IF(VLOOKUP($AJ14,AbilityT[],2,FALSE)="Mutation_R",0.5*VLOOKUP($E14,TeamT[],15,FALSE),"ERROR")))))))))))))))+IF($AK14="",0,IF($AK14="+AV",10000,IF(OR($AK14="+MA",$AK14="+PA"),20000,IF($AK14="+AG",40000,IF($AK14="+ST",80000,20000*IF(VLOOKUP($AK14,AbilityT[],2,FALSE)="General",VLOOKUP($E14,TeamT[],11,FALSE),IF(VLOOKUP($AK14,AbilityT[],2,FALSE)="Agility",VLOOKUP($E14,TeamT[],12,FALSE),IF(VLOOKUP($AK14,AbilityT[],2,FALSE)="Strength",VLOOKUP($E14,TeamT[],13,FALSE),IF(VLOOKUP($AK14,AbilityT[],2,FALSE)="Passing",VLOOKUP($E14,TeamT[],14,FALSE),IF(VLOOKUP($AK14,AbilityT[],2,FALSE)="Mutation",VLOOKUP($E14,TeamT[],15,FALSE),IF(VLOOKUP($AK14,AbilityT[],2,FALSE)="General_R",0.5*VLOOKUP($E14,TeamT[],11,FALSE),IF(VLOOKUP($AK14,AbilityT[],2,FALSE)="Agility_R",0.5*VLOOKUP($E14,TeamT[],12,FALSE),IF(VLOOKUP($AK14,AbilityT[],2,FALSE)="Strength_R",0.5*VLOOKUP($E14,TeamT[],13,FALSE),IF(VLOOKUP($AK14,AbilityT[],2,FALSE)="Passing_R",0.5*VLOOKUP($E14,TeamT[],14,FALSE),IF(VLOOKUP($AK14,AbilityT[],2,FALSE)="Mutation_R",0.5*VLOOKUP($E14,TeamT[],15,FALSE),"ERROR")))))))))))))))+IF($AL14="",0,IF($AL14="+AV",10000,IF(OR($AL14="+MA",$AL14="+PA"),20000,IF($AL14="+AG",40000,IF($AL14="+ST",80000,20000*IF(VLOOKUP($AL14,AbilityT[],2,FALSE)="General",VLOOKUP($E14,TeamT[],11,FALSE),IF(VLOOKUP($AL14,AbilityT[],2,FALSE)="Agility",VLOOKUP($E14,TeamT[],12,FALSE),IF(VLOOKUP($AL14,AbilityT[],2,FALSE)="Strength",VLOOKUP($E14,TeamT[],13,FALSE),IF(VLOOKUP($AL14,AbilityT[],2,FALSE)="Passing",VLOOKUP($E14,TeamT[],14,FALSE),IF(VLOOKUP($AL14,AbilityT[],2,FALSE)="Mutation",VLOOKUP($E14,TeamT[],15,FALSE),IF(VLOOKUP($AL14,AbilityT[],2,FALSE)="General_R",0.5*VLOOKUP($E14,TeamT[],11,FALSE),IF(VLOOKUP($AL14,AbilityT[],2,FALSE)="Agility_R",0.5*VLOOKUP($E14,TeamT[],12,FALSE),IF(VLOOKUP($AL14,AbilityT[],2,FALSE)="Strength_R",0.5*VLOOKUP($E14,TeamT[],13,FALSE),IF(VLOOKUP($AL14,AbilityT[],2,FALSE)="Passing_R",0.5*VLOOKUP($E14,TeamT[],14,FALSE),IF(VLOOKUP($AL14,AbilityT[],2,FALSE)="Mutation_R",0.5*VLOOKUP($E14,TeamT[],15,FALSE),"ERROR")))))))))))))))+IF($AM14="",0,IF($AM14="+AV",10000,IF(OR($AM14="+MA",$AM14="+PA"),20000,IF($AM14="+AG",40000,IF($AM14="+ST",80000,20000*IF(VLOOKUP($AM14,AbilityT[],2,FALSE)="General",VLOOKUP($E14,TeamT[],11,FALSE),IF(VLOOKUP($AM14,AbilityT[],2,FALSE)="Agility",VLOOKUP($E14,TeamT[],12,FALSE),IF(VLOOKUP($AM14,AbilityT[],2,FALSE)="Strength",VLOOKUP($E14,TeamT[],13,FALSE),IF(VLOOKUP($AM14,AbilityT[],2,FALSE)="Passing",VLOOKUP($E14,TeamT[],14,FALSE),IF(VLOOKUP($AM14,AbilityT[],2,FALSE)="Mutation",VLOOKUP($E14,TeamT[],15,FALSE),IF(VLOOKUP($AM14,AbilityT[],2,FALSE)="General_R",0.5*VLOOKUP($E14,TeamT[],11,FALSE),IF(VLOOKUP($AM14,AbilityT[],2,FALSE)="Agility_R",0.5*VLOOKUP($E14,TeamT[],12,FALSE),IF(VLOOKUP($AM14,AbilityT[],2,FALSE)="Strength_R",0.5*VLOOKUP($E14,TeamT[],13,FALSE),IF(VLOOKUP($AM14,AbilityT[],2,FALSE)="Passing_R",0.5*VLOOKUP($E14,TeamT[],14,FALSE),IF(VLOOKUP($AM14,AbilityT[],2,FALSE)="Mutation_R",0.5*VLOOKUP($E14,TeamT[],15,FALSE),"ERROR")))))))))))))))+IF($AN14="",0,IF($AN14="+AV",10000,IF(OR($AN14="+MA",$AN14="+PA"),20000,IF($AN14="+AG",40000,IF($AN14="+ST",80000,20000*IF(VLOOKUP($AN14,AbilityT[],2,FALSE)="General",VLOOKUP($E14,TeamT[],11,FALSE),IF(VLOOKUP($AN14,AbilityT[],2,FALSE)="Agility",VLOOKUP($E14,TeamT[],12,FALSE),IF(VLOOKUP($AN14,AbilityT[],2,FALSE)="Strength",VLOOKUP($E14,TeamT[],13,FALSE),IF(VLOOKUP($AN14,AbilityT[],2,FALSE)="Passing",VLOOKUP($E14,TeamT[],14,FALSE),IF(VLOOKUP($AN14,AbilityT[],2,FALSE)="Mutation",VLOOKUP($E14,TeamT[],15,FALSE),IF(VLOOKUP($AN14,AbilityT[],2,FALSE)="General_R",0.5*VLOOKUP($E14,TeamT[],11,FALSE),IF(VLOOKUP($AN14,AbilityT[],2,FALSE)="Agility_R",0.5*VLOOKUP($E14,TeamT[],12,FALSE),IF(VLOOKUP($AN14,AbilityT[],2,FALSE)="Strength_R",0.5*VLOOKUP($E14,TeamT[],13,FALSE),IF(VLOOKUP($AN14,AbilityT[],2,FALSE)="Passing_R",0.5*VLOOKUP($E14,TeamT[],14,FALSE),IF(VLOOKUP($AN14,AbilityT[],2,FALSE)="Mutation_R",0.5*VLOOKUP($E14,TeamT[],15,FALSE),"ERROR")))))))))))))))+IF($AO14="",0,IF($AO14="+AV",10000,IF(OR($AO14="+MA",$AO14="+PA"),20000,IF($AO14="+AG",40000,IF($AO14="+ST",80000,20000*IF(VLOOKUP($AO14,AbilityT[],2,FALSE)="General",VLOOKUP($E14,TeamT[],11,FALSE),IF(VLOOKUP($AO14,AbilityT[],2,FALSE)="Agility",VLOOKUP($E14,TeamT[],12,FALSE),IF(VLOOKUP($AO14,AbilityT[],2,FALSE)="Strength",VLOOKUP($E14,TeamT[],13,FALSE),IF(VLOOKUP($AO14,AbilityT[],2,FALSE)="Passing",VLOOKUP($E14,TeamT[],14,FALSE),IF(VLOOKUP($AO14,AbilityT[],2,FALSE)="Mutation",VLOOKUP($E14,TeamT[],15,FALSE),IF(VLOOKUP($AO14,AbilityT[],2,FALSE)="General_R",0.5*VLOOKUP($E14,TeamT[],11,FALSE),IF(VLOOKUP($AO14,AbilityT[],2,FALSE)="Agility_R",0.5*VLOOKUP($E14,TeamT[],12,FALSE),IF(VLOOKUP($AO14,AbilityT[],2,FALSE)="Strength_R",0.5*VLOOKUP($E14,TeamT[],13,FALSE),IF(VLOOKUP($AO14,AbilityT[],2,FALSE)="Passing_R",0.5*VLOOKUP($E14,TeamT[],14,FALSE),IF(VLOOKUP($AO14,AbilityT[],2,FALSE)="Mutation_R",0.5*VLOOKUP($E14,TeamT[],15,FALSE),"ERROR"))))))))))))))))+$AC14)</f>
        <v>0</v>
      </c>
      <c r="AC14" s="190"/>
      <c r="AD14" s="193"/>
      <c r="AE14" s="119"/>
      <c r="AF14" s="120"/>
      <c r="AG14" s="120"/>
      <c r="AH14" s="120"/>
      <c r="AI14" s="121"/>
      <c r="AJ14" s="118"/>
      <c r="AK14" s="118"/>
      <c r="AL14" s="118"/>
      <c r="AM14" s="118"/>
      <c r="AN14" s="118"/>
      <c r="AO14" s="118"/>
      <c r="AP14" s="199"/>
      <c r="BC14" s="1" t="e">
        <f>VLOOKUP($E14,TeamT[],5,FALSE)</f>
        <v>#N/A</v>
      </c>
      <c r="BD14" s="1" t="e">
        <f>VLOOKUP($E14,TeamT[],6,FALSE)</f>
        <v>#N/A</v>
      </c>
      <c r="BE14" s="1" t="e">
        <f>VLOOKUP($E14,TeamT[],19,FALSE)</f>
        <v>#N/A</v>
      </c>
      <c r="BF14" s="1" t="e">
        <f>VLOOKUP($E14,TeamT[],20,FALSE)</f>
        <v>#N/A</v>
      </c>
      <c r="BG14" s="1" t="e">
        <f>VLOOKUP($E14,TeamT[],21,FALSE)</f>
        <v>#N/A</v>
      </c>
    </row>
    <row r="15" spans="2:59 1030:1031" ht="34.9" customHeight="1" thickBot="1" x14ac:dyDescent="0.2">
      <c r="B15" s="180">
        <v>11</v>
      </c>
      <c r="C15" s="110"/>
      <c r="D15" s="70">
        <f t="shared" si="1"/>
        <v>0</v>
      </c>
      <c r="E15" s="264"/>
      <c r="F15" s="264"/>
      <c r="G15" s="264"/>
      <c r="H15" s="72" t="str">
        <f>IF($E15&lt;&gt;"",VLOOKUP(E15,TeamT[],4,FALSE),"")</f>
        <v/>
      </c>
      <c r="I15" s="229" t="str">
        <f>IF($E15="","",IF(VLOOKUP($E15,TeamT[],5,FALSE)+COUNTIF($AJ15:$AO15,"=+MA")+$AE15&gt;9,9,IF(VLOOKUP($E15,TeamT[],5,FALSE)+COUNTIF($AJ15:$AO15,"=+MA")+$AE15&lt;1,1,VLOOKUP($E15,TeamT[],5,FALSE)+COUNTIF($AJ15:$AO15,"=+MA")+$AE15)))</f>
        <v/>
      </c>
      <c r="J15" s="230" t="str">
        <f>IF($E15="","",IF(VLOOKUP($E15,TeamT[],6,FALSE)+COUNTIF($AJ15:$AO15,"=+ST")+$AF15&gt;8,8,IF(VLOOKUP($E15,TeamT[],6,FALSE)+COUNTIF($AJ15:$AO15,"=+ST")+$AF15&lt;1,1,VLOOKUP($E15,TeamT[],6,FALSE)+COUNTIF($AJ15:$AO15,"=+ST")+$AF15)))</f>
        <v/>
      </c>
      <c r="K15" s="231" t="str">
        <f>IF($E15="","",IF(VLOOKUP($E15,TeamT[],19,FALSE)-COUNTIF($AJ15:$AO15,"=+AG")-$AG15&gt;6,6,IF(VLOOKUP($E15,TeamT[],19,FALSE)-COUNTIF($AJ15:$AO15,"=+AG")-$AG15&lt;1,1,VLOOKUP($E15,TeamT[],19,FALSE)-COUNTIF($AJ15:$AO15,"=+AG")-$AG15)))</f>
        <v/>
      </c>
      <c r="L15" s="231" t="str">
        <f>IF($E15="","",IF(VLOOKUP($E15,TeamT[],20,FALSE)="-","-",IF(VLOOKUP($E15,TeamT[],20,FALSE)-COUNTIF($AJ15:$AO15,"=+PA")-$AH15&gt;6,6,IF(VLOOKUP($E15,TeamT[],20,FALSE)-COUNTIF($AJ15:$AO15,"=+PA")-$AH15&lt;1,1,VLOOKUP($E15,TeamT[],20,FALSE)-COUNTIF($AJ15:$AO15,"=+PA")-$AH15))))</f>
        <v/>
      </c>
      <c r="M15" s="231" t="str">
        <f>IF($E15="","",IF(VLOOKUP($E15,TeamT[],21,FALSE)+COUNTIF($AJ15:$AO15,"=+AV")+$AI15&gt;11,11,IF(VLOOKUP($E15,TeamT[],21,FALSE)+COUNTIF($AJ15:$AO15,"=+AV")+$AI15&lt;3,3,VLOOKUP($E15,TeamT[],21,FALSE)+COUNTIF($AJ15:$AO15,"=+AV")+$AI15)))</f>
        <v/>
      </c>
      <c r="N15" s="225" t="str">
        <f>IF($E15="","",IF(COUNTIF($E$5:$E$20,$E15)&gt;VLOOKUP($E15,TeamT[],4,FALSE),"ERROR! Too many Player wit same role",(IF(Reces!$BR14&lt;&gt;0,"ERROR! Too many Big Guys!",(IF(Reces!$BT14&lt;&gt;0,"ERROR! Too many Star Players!",VLOOKUP($E15,TeamT[],10,FALSE)))))))</f>
        <v/>
      </c>
      <c r="O15" s="106" t="str">
        <f t="shared" si="2"/>
        <v/>
      </c>
      <c r="P15" s="254"/>
      <c r="Q15" s="254"/>
      <c r="R15" s="183"/>
      <c r="S15" s="183"/>
      <c r="T15" s="183"/>
      <c r="U15" s="183"/>
      <c r="V15" s="183"/>
      <c r="W15" s="183"/>
      <c r="X15" s="184"/>
      <c r="Y15" s="117">
        <f t="shared" si="0"/>
        <v>0</v>
      </c>
      <c r="Z15" s="172">
        <f>IF(LEFT($E15,1)="*","Star",$Y15+IF($AJ15=0,0,IF(OR($AJ15="+MA",$AJ15="+ST",$AJ15="+AG",$AJ15="+PA",$AJ15="+AV"),-18,IF(VLOOKUP($AJ15,AbilityT[],2,FALSE)="General",-6*VLOOKUP($E15,TeamT[],11,FALSE),IF(VLOOKUP($AJ15,AbilityT[],2,FALSE)="Agility",-6*VLOOKUP($E15,TeamT[],12,FALSE),IF(VLOOKUP($AJ15,AbilityT[],2,FALSE)="Strength",-6*VLOOKUP($E15,TeamT[],13,FALSE),IF(VLOOKUP($AJ15,AbilityT[],2,FALSE)="Passing",-6*VLOOKUP($E15,TeamT[],14,FALSE),IF(VLOOKUP($AJ15,AbilityT[],2,FALSE)="Mutation",-6*VLOOKUP($E15,TeamT[],15,FALSE),IF(VLOOKUP($AJ15,AbilityT[],2,FALSE)="General_R",-3*VLOOKUP($E15,TeamT[],11,FALSE),IF(VLOOKUP($AJ15,AbilityT[],2,FALSE)="Agility_R",-3*VLOOKUP($E15,TeamT[],12,FALSE),IF(VLOOKUP($AJ15,AbilityT[],2,FALSE)="Strength_R",-3*VLOOKUP($E15,TeamT[],13,FALSE),IF(VLOOKUP($AJ15,AbilityT[],2,FALSE)="Passing_R",-3*VLOOKUP($E15,TeamT[],14,FALSE),IF(VLOOKUP($AJ15,AbilityT[],2,FALSE)="Mutation_R",-3*VLOOKUP($E15,TeamT[],15,FALSE),"ERROR")))))))))))+IF($AK15=0,0,IF(OR($AK15="+MA",$AK15="+ST",$AK15="+AG",$AK15="+PA",$AK15="+AV"),-20,IF(VLOOKUP($AK15,AbilityT[],2,FALSE)="General",IF(VLOOKUP($E15,TeamT[],11,FALSE)=1,-8*VLOOKUP($E15,TeamT[],11,FALSE),-7*VLOOKUP($E15,TeamT[],11,FALSE)),IF(VLOOKUP($AK15,AbilityT[],2,FALSE)="Agility",IF(VLOOKUP($E15,TeamT[],12,FALSE)=1,-8*VLOOKUP($E15,TeamT[],12,FALSE),-7*VLOOKUP($E15,TeamT[],12,FALSE)),IF(VLOOKUP($AK15,AbilityT[],2,FALSE)="Strength",IF(VLOOKUP($E15,TeamT[],13,FALSE)=1,-8*VLOOKUP($E15,TeamT[],13,FALSE),-7*VLOOKUP($E15,TeamT[],13,FALSE)),IF(VLOOKUP($AK15,AbilityT[],2,FALSE)="Passing",IF(VLOOKUP($E15,TeamT[],14,FALSE)=1,-8*VLOOKUP($E15,TeamT[],14,FALSE),-7*VLOOKUP($E15,TeamT[],14,FALSE)),IF(VLOOKUP($AK15,AbilityT[],2,FALSE)="Mutation",IF(VLOOKUP($E15,TeamT[],15,FALSE)=1,-8*VLOOKUP($E15,TeamT[],15,FALSE),-7*VLOOKUP($E15,TeamT[],15,FALSE)),IF(VLOOKUP($AK15,AbilityT[],2,FALSE)="General_R",-4*VLOOKUP($E15,TeamT[],11,FALSE),IF(VLOOKUP($AK15,AbilityT[],2,FALSE)="Agility_R",-4*VLOOKUP($E15,TeamT[],12,FALSE),IF(VLOOKUP($AK15,AbilityT[],2,FALSE)="Strength_R",-4*VLOOKUP($E15,TeamT[],13,FALSE),IF(VLOOKUP($AK15,AbilityT[],2,FALSE)="Passing_R",-4*VLOOKUP($E15,TeamT[],14,FALSE),IF(VLOOKUP($AK15,AbilityT[],2,FALSE)="Mutation_R",-4*VLOOKUP($E15,TeamT[],15,FALSE),"ERROR"))))))))))))+IF($AL15=0,0,IF(OR($AL15="+MA",$AL15="+ST",$AL15="+AG",$AL15="+PA",$AL15="+AV"),-24,IF(VLOOKUP($AL15,AbilityT[],2,FALSE)="General",IF(VLOOKUP($E15,TeamT[],11,FALSE)=1,-12*VLOOKUP($E15,TeamT[],11,FALSE),-9*VLOOKUP($E15,TeamT[],11,FALSE)),IF(VLOOKUP($AL15,AbilityT[],2,FALSE)="Agility",IF(VLOOKUP($E15,TeamT[],12,FALSE)=1,-12*VLOOKUP($E15,TeamT[],12,FALSE),-9*VLOOKUP($E15,TeamT[],12,FALSE)),IF(VLOOKUP($AL15,AbilityT[],2,FALSE)="Strength",IF(VLOOKUP($E15,TeamT[],13,FALSE)=1,-12*VLOOKUP($E15,TeamT[],13,FALSE),-9*VLOOKUP($E15,TeamT[],13,FALSE)),IF(VLOOKUP($AL15,AbilityT[],2,FALSE)="Passing",IF(VLOOKUP($E15,TeamT[],14,FALSE)=1,-12*VLOOKUP($E15,TeamT[],14,FALSE),-9*VLOOKUP($E15,TeamT[],14,FALSE)),IF(VLOOKUP($AL15,AbilityT[],2,FALSE)="Mutation",IF(VLOOKUP($E15,TeamT[],15,FALSE)=1,-12*VLOOKUP($E15,TeamT[],15,FALSE),-9*VLOOKUP($E15,TeamT[],15,FALSE)),IF(VLOOKUP($AL15,AbilityT[],2,FALSE)="General_R",-6*VLOOKUP($E15,TeamT[],11,FALSE),IF(VLOOKUP($AL15,AbilityT[],2,FALSE)="Agility_R",-6*VLOOKUP($E15,TeamT[],12,FALSE),IF(VLOOKUP($AL15,AbilityT[],2,FALSE)="Strength_R",-6*VLOOKUP($E15,TeamT[],13,FALSE),IF(VLOOKUP($AL15,AbilityT[],2,FALSE)="Passing_R",-6*VLOOKUP($E15,TeamT[],14,FALSE),IF(VLOOKUP($AL15,AbilityT[],2,FALSE)="Mutation_R",-6*VLOOKUP($E15,TeamT[],15,FALSE),"ERROR"))))))))))))+IF($AM15=0,0,IF(OR($AM15="+MA",$AM15="+ST",$AM15="+AG",$AM15="+PA",$AM15="+AV"),-28,IF(VLOOKUP($AM15,AbilityT[],2,FALSE)="General",IF(VLOOKUP($E15,TeamT[],11,FALSE)=1,-16*VLOOKUP($E15,TeamT[],11,FALSE),-11*VLOOKUP($E15,TeamT[],11,FALSE)),IF(VLOOKUP($AM15,AbilityT[],2,FALSE)="Agility",IF(VLOOKUP($E15,TeamT[],12,FALSE)=1,-16*VLOOKUP($E15,TeamT[],12,FALSE),-11*VLOOKUP($E15,TeamT[],12,FALSE)),IF(VLOOKUP($AM15,AbilityT[],2,FALSE)="Strength",IF(VLOOKUP($E15,TeamT[],13,FALSE)=1,-16*VLOOKUP($E15,TeamT[],13,FALSE),-11*VLOOKUP($E15,TeamT[],13,FALSE)),IF(VLOOKUP($AM15,AbilityT[],2,FALSE)="Passing",IF(VLOOKUP($E15,TeamT[],14,FALSE)=1,-16*VLOOKUP($E15,TeamT[],14,FALSE),-11*VLOOKUP($E15,TeamT[],14,FALSE)),IF(VLOOKUP($AM15,AbilityT[],2,FALSE)="Mutation",IF(VLOOKUP($E15,TeamT[],15,FALSE)=1,-16*VLOOKUP($E15,TeamT[],15,FALSE),-11*VLOOKUP($E15,TeamT[],15,FALSE)),IF(VLOOKUP($AM15,AbilityT[],2,FALSE)="General_R",-8*VLOOKUP($E15,TeamT[],11,FALSE),IF(VLOOKUP($AM15,AbilityT[],2,FALSE)="Agility_R",-8*VLOOKUP($E15,TeamT[],12,FALSE),IF(VLOOKUP($AM15,AbilityT[],2,FALSE)="Strength_R",-8*VLOOKUP($E15,TeamT[],13,FALSE),IF(VLOOKUP($AM15,AbilityT[],2,FALSE)="Passing_R",-8*VLOOKUP($E15,TeamT[],14,FALSE),IF(VLOOKUP($AM15,AbilityT[],2,FALSE)="Mutation_R",-8*VLOOKUP($E15,TeamT[],15,FALSE),"ERROR"))))))))))))+IF($AN15=0,0,IF(OR($AN15="+MA",$AN15="+ST",$AN15="+AG",$AN15="+PA",$AN15="+AV"),-32,IF(VLOOKUP($AN15,AbilityT[],2,FALSE)="General",IF(VLOOKUP($E15,TeamT[],11,FALSE)=1,-20*VLOOKUP($E15,TeamT[],11,FALSE),-13*VLOOKUP($E15,TeamT[],11,FALSE)),IF(VLOOKUP($AN15,AbilityT[],2,FALSE)="Agility",IF(VLOOKUP($E15,TeamT[],12,FALSE)=1,-20*VLOOKUP($E15,TeamT[],12,FALSE),-13*VLOOKUP($E15,TeamT[],12,FALSE)),IF(VLOOKUP($AN15,AbilityT[],2,FALSE)="Strength",IF(VLOOKUP($E15,TeamT[],13,FALSE)=1,-20*VLOOKUP($E15,TeamT[],13,FALSE),-13*VLOOKUP($E15,TeamT[],13,FALSE)),IF(VLOOKUP($AN15,AbilityT[],2,FALSE)="Passing",IF(VLOOKUP($E15,TeamT[],14,FALSE)=1,-20*VLOOKUP($E15,TeamT[],14,FALSE),-13*VLOOKUP($E15,TeamT[],14,FALSE)),IF(VLOOKUP($AN15,AbilityT[],2,FALSE)="Mutation",IF(VLOOKUP($E15,TeamT[],15,FALSE)=1,-20*VLOOKUP($E15,TeamT[],15,FALSE),-13*VLOOKUP($E15,TeamT[],15,FALSE)),IF(VLOOKUP($AN15,AbilityT[],2,FALSE)="General_R",-10*VLOOKUP($E15,TeamT[],11,FALSE),IF(VLOOKUP($AN15,AbilityT[],2,FALSE)="Agility_R",-10*VLOOKUP($E15,TeamT[],12,FALSE),IF(VLOOKUP($AN15,AbilityT[],2,FALSE)="Strength_R",-10*VLOOKUP($E15,TeamT[],13,FALSE),IF(VLOOKUP($AN15,AbilityT[],2,FALSE)="Passing_R",-10*VLOOKUP($E15,TeamT[],14,FALSE),IF(VLOOKUP($AN15,AbilityT[],2,FALSE)="Mutation_R",-10*VLOOKUP($E15,TeamT[],15,FALSE),"ERROR"))))))))))))+IF($AO15=0,0,IF(OR($AO15="+MA",$AO15="+ST",$AO15="+AG",$AO15="+PA",$AO15="+AV"),-50,IF(VLOOKUP($AO15,AbilityT[],2,FALSE)="General",IF(VLOOKUP($E15,TeamT[],11,FALSE)=1,-30*VLOOKUP($E15,TeamT[],11,FALSE),-20*VLOOKUP($E15,TeamT[],11,FALSE)),IF(VLOOKUP($AO15,AbilityT[],2,FALSE)="Agility",IF(VLOOKUP($E15,TeamT[],12,FALSE)=1,-30*VLOOKUP($E15,TeamT[],12,FALSE),-20*VLOOKUP($E15,TeamT[],12,FALSE)),IF(VLOOKUP($AO15,AbilityT[],2,FALSE)="Strength",IF(VLOOKUP($E15,TeamT[],13,FALSE)=1,-30*VLOOKUP($E15,TeamT[],13,FALSE),-20*VLOOKUP($E15,TeamT[],13,FALSE)),IF(VLOOKUP($AO15,AbilityT[],2,FALSE)="Passing",IF(VLOOKUP($E15,TeamT[],14,FALSE)=1,-30*VLOOKUP($E15,TeamT[],14,FALSE),-20*VLOOKUP($E15,TeamT[],14,FALSE)),IF(VLOOKUP($AO15,AbilityT[],2,FALSE)="Mutation",IF(VLOOKUP($E15,TeamT[],15,FALSE)=1,-30*VLOOKUP($E15,TeamT[],15,FALSE),-20*VLOOKUP($E15,TeamT[],15,FALSE)),IF(VLOOKUP($AO15,AbilityT[],2,FALSE)="General_R",-15*VLOOKUP($E15,TeamT[],11,FALSE),IF(VLOOKUP($AO15,AbilityT[],2,FALSE)="Agility_R",-15*VLOOKUP($E15,TeamT[],12,FALSE),IF(VLOOKUP($AO15,AbilityT[],2,FALSE)="Strength_R",-15*VLOOKUP($E15,TeamT[],13,FALSE),IF(VLOOKUP($AO15,AbilityT[],2,FALSE)="Passing_R",-15*VLOOKUP($E15,TeamT[],14,FALSE),IF(VLOOKUP($AO15,AbilityT[],2,FALSE)="Mutation_R",-15*VLOOKUP($E15,TeamT[],15,FALSE),"ERROR")))))))))))))+IF($AA15&lt;=5,-6*$AA15,-6*$AA15-4))</f>
        <v>0</v>
      </c>
      <c r="AA15" s="188"/>
      <c r="AB15" s="115">
        <f>IF($E15="",0,VLOOKUP($E15,TeamT[],3,FALSE)+IF($O$28="Tournament Setup",0,IF($AJ15="",0,IF($AJ15="+AV",10000,IF(OR($AJ15="+MA",$AJ15="+PA"),20000,IF($AJ15="+AG",40000,IF($AJ15="+ST",80000,20000*IF(VLOOKUP($AJ15,AbilityT[],2,FALSE)="General",VLOOKUP($E15,TeamT[],11,FALSE),IF(VLOOKUP($AJ15,AbilityT[],2,FALSE)="Agility",VLOOKUP($E15,TeamT[],12,FALSE),IF(VLOOKUP($AJ15,AbilityT[],2,FALSE)="Strength",VLOOKUP($E15,TeamT[],13,FALSE),IF(VLOOKUP($AJ15,AbilityT[],2,FALSE)="Passing",VLOOKUP($E15,TeamT[],14,FALSE),IF(VLOOKUP($AJ15,AbilityT[],2,FALSE)="Mutation",VLOOKUP($E15,TeamT[],15,FALSE),IF(VLOOKUP($AJ15,AbilityT[],2,FALSE)="General_R",0.5*VLOOKUP($E15,TeamT[],11,FALSE),IF(VLOOKUP($AJ15,AbilityT[],2,FALSE)="Agility_R",0.5*VLOOKUP($E15,TeamT[],12,FALSE),IF(VLOOKUP($AJ15,AbilityT[],2,FALSE)="Strength_R",0.5*VLOOKUP($E15,TeamT[],13,FALSE),IF(VLOOKUP($AJ15,AbilityT[],2,FALSE)="Passing_R",0.5*VLOOKUP($E15,TeamT[],14,FALSE),IF(VLOOKUP($AJ15,AbilityT[],2,FALSE)="Mutation_R",0.5*VLOOKUP($E15,TeamT[],15,FALSE),"ERROR")))))))))))))))+IF($AK15="",0,IF($AK15="+AV",10000,IF(OR($AK15="+MA",$AK15="+PA"),20000,IF($AK15="+AG",40000,IF($AK15="+ST",80000,20000*IF(VLOOKUP($AK15,AbilityT[],2,FALSE)="General",VLOOKUP($E15,TeamT[],11,FALSE),IF(VLOOKUP($AK15,AbilityT[],2,FALSE)="Agility",VLOOKUP($E15,TeamT[],12,FALSE),IF(VLOOKUP($AK15,AbilityT[],2,FALSE)="Strength",VLOOKUP($E15,TeamT[],13,FALSE),IF(VLOOKUP($AK15,AbilityT[],2,FALSE)="Passing",VLOOKUP($E15,TeamT[],14,FALSE),IF(VLOOKUP($AK15,AbilityT[],2,FALSE)="Mutation",VLOOKUP($E15,TeamT[],15,FALSE),IF(VLOOKUP($AK15,AbilityT[],2,FALSE)="General_R",0.5*VLOOKUP($E15,TeamT[],11,FALSE),IF(VLOOKUP($AK15,AbilityT[],2,FALSE)="Agility_R",0.5*VLOOKUP($E15,TeamT[],12,FALSE),IF(VLOOKUP($AK15,AbilityT[],2,FALSE)="Strength_R",0.5*VLOOKUP($E15,TeamT[],13,FALSE),IF(VLOOKUP($AK15,AbilityT[],2,FALSE)="Passing_R",0.5*VLOOKUP($E15,TeamT[],14,FALSE),IF(VLOOKUP($AK15,AbilityT[],2,FALSE)="Mutation_R",0.5*VLOOKUP($E15,TeamT[],15,FALSE),"ERROR")))))))))))))))+IF($AL15="",0,IF($AL15="+AV",10000,IF(OR($AL15="+MA",$AL15="+PA"),20000,IF($AL15="+AG",40000,IF($AL15="+ST",80000,20000*IF(VLOOKUP($AL15,AbilityT[],2,FALSE)="General",VLOOKUP($E15,TeamT[],11,FALSE),IF(VLOOKUP($AL15,AbilityT[],2,FALSE)="Agility",VLOOKUP($E15,TeamT[],12,FALSE),IF(VLOOKUP($AL15,AbilityT[],2,FALSE)="Strength",VLOOKUP($E15,TeamT[],13,FALSE),IF(VLOOKUP($AL15,AbilityT[],2,FALSE)="Passing",VLOOKUP($E15,TeamT[],14,FALSE),IF(VLOOKUP($AL15,AbilityT[],2,FALSE)="Mutation",VLOOKUP($E15,TeamT[],15,FALSE),IF(VLOOKUP($AL15,AbilityT[],2,FALSE)="General_R",0.5*VLOOKUP($E15,TeamT[],11,FALSE),IF(VLOOKUP($AL15,AbilityT[],2,FALSE)="Agility_R",0.5*VLOOKUP($E15,TeamT[],12,FALSE),IF(VLOOKUP($AL15,AbilityT[],2,FALSE)="Strength_R",0.5*VLOOKUP($E15,TeamT[],13,FALSE),IF(VLOOKUP($AL15,AbilityT[],2,FALSE)="Passing_R",0.5*VLOOKUP($E15,TeamT[],14,FALSE),IF(VLOOKUP($AL15,AbilityT[],2,FALSE)="Mutation_R",0.5*VLOOKUP($E15,TeamT[],15,FALSE),"ERROR")))))))))))))))+IF($AM15="",0,IF($AM15="+AV",10000,IF(OR($AM15="+MA",$AM15="+PA"),20000,IF($AM15="+AG",40000,IF($AM15="+ST",80000,20000*IF(VLOOKUP($AM15,AbilityT[],2,FALSE)="General",VLOOKUP($E15,TeamT[],11,FALSE),IF(VLOOKUP($AM15,AbilityT[],2,FALSE)="Agility",VLOOKUP($E15,TeamT[],12,FALSE),IF(VLOOKUP($AM15,AbilityT[],2,FALSE)="Strength",VLOOKUP($E15,TeamT[],13,FALSE),IF(VLOOKUP($AM15,AbilityT[],2,FALSE)="Passing",VLOOKUP($E15,TeamT[],14,FALSE),IF(VLOOKUP($AM15,AbilityT[],2,FALSE)="Mutation",VLOOKUP($E15,TeamT[],15,FALSE),IF(VLOOKUP($AM15,AbilityT[],2,FALSE)="General_R",0.5*VLOOKUP($E15,TeamT[],11,FALSE),IF(VLOOKUP($AM15,AbilityT[],2,FALSE)="Agility_R",0.5*VLOOKUP($E15,TeamT[],12,FALSE),IF(VLOOKUP($AM15,AbilityT[],2,FALSE)="Strength_R",0.5*VLOOKUP($E15,TeamT[],13,FALSE),IF(VLOOKUP($AM15,AbilityT[],2,FALSE)="Passing_R",0.5*VLOOKUP($E15,TeamT[],14,FALSE),IF(VLOOKUP($AM15,AbilityT[],2,FALSE)="Mutation_R",0.5*VLOOKUP($E15,TeamT[],15,FALSE),"ERROR")))))))))))))))+IF($AN15="",0,IF($AN15="+AV",10000,IF(OR($AN15="+MA",$AN15="+PA"),20000,IF($AN15="+AG",40000,IF($AN15="+ST",80000,20000*IF(VLOOKUP($AN15,AbilityT[],2,FALSE)="General",VLOOKUP($E15,TeamT[],11,FALSE),IF(VLOOKUP($AN15,AbilityT[],2,FALSE)="Agility",VLOOKUP($E15,TeamT[],12,FALSE),IF(VLOOKUP($AN15,AbilityT[],2,FALSE)="Strength",VLOOKUP($E15,TeamT[],13,FALSE),IF(VLOOKUP($AN15,AbilityT[],2,FALSE)="Passing",VLOOKUP($E15,TeamT[],14,FALSE),IF(VLOOKUP($AN15,AbilityT[],2,FALSE)="Mutation",VLOOKUP($E15,TeamT[],15,FALSE),IF(VLOOKUP($AN15,AbilityT[],2,FALSE)="General_R",0.5*VLOOKUP($E15,TeamT[],11,FALSE),IF(VLOOKUP($AN15,AbilityT[],2,FALSE)="Agility_R",0.5*VLOOKUP($E15,TeamT[],12,FALSE),IF(VLOOKUP($AN15,AbilityT[],2,FALSE)="Strength_R",0.5*VLOOKUP($E15,TeamT[],13,FALSE),IF(VLOOKUP($AN15,AbilityT[],2,FALSE)="Passing_R",0.5*VLOOKUP($E15,TeamT[],14,FALSE),IF(VLOOKUP($AN15,AbilityT[],2,FALSE)="Mutation_R",0.5*VLOOKUP($E15,TeamT[],15,FALSE),"ERROR")))))))))))))))+IF($AO15="",0,IF($AO15="+AV",10000,IF(OR($AO15="+MA",$AO15="+PA"),20000,IF($AO15="+AG",40000,IF($AO15="+ST",80000,20000*IF(VLOOKUP($AO15,AbilityT[],2,FALSE)="General",VLOOKUP($E15,TeamT[],11,FALSE),IF(VLOOKUP($AO15,AbilityT[],2,FALSE)="Agility",VLOOKUP($E15,TeamT[],12,FALSE),IF(VLOOKUP($AO15,AbilityT[],2,FALSE)="Strength",VLOOKUP($E15,TeamT[],13,FALSE),IF(VLOOKUP($AO15,AbilityT[],2,FALSE)="Passing",VLOOKUP($E15,TeamT[],14,FALSE),IF(VLOOKUP($AO15,AbilityT[],2,FALSE)="Mutation",VLOOKUP($E15,TeamT[],15,FALSE),IF(VLOOKUP($AO15,AbilityT[],2,FALSE)="General_R",0.5*VLOOKUP($E15,TeamT[],11,FALSE),IF(VLOOKUP($AO15,AbilityT[],2,FALSE)="Agility_R",0.5*VLOOKUP($E15,TeamT[],12,FALSE),IF(VLOOKUP($AO15,AbilityT[],2,FALSE)="Strength_R",0.5*VLOOKUP($E15,TeamT[],13,FALSE),IF(VLOOKUP($AO15,AbilityT[],2,FALSE)="Passing_R",0.5*VLOOKUP($E15,TeamT[],14,FALSE),IF(VLOOKUP($AO15,AbilityT[],2,FALSE)="Mutation_R",0.5*VLOOKUP($E15,TeamT[],15,FALSE),"ERROR"))))))))))))))))+$AC15)</f>
        <v>0</v>
      </c>
      <c r="AC15" s="190"/>
      <c r="AD15" s="193"/>
      <c r="AE15" s="119"/>
      <c r="AF15" s="120"/>
      <c r="AG15" s="120"/>
      <c r="AH15" s="120"/>
      <c r="AI15" s="121"/>
      <c r="AJ15" s="118"/>
      <c r="AK15" s="118"/>
      <c r="AL15" s="118"/>
      <c r="AM15" s="118"/>
      <c r="AN15" s="118"/>
      <c r="AO15" s="118"/>
      <c r="AP15" s="199"/>
      <c r="BC15" s="1" t="e">
        <f>VLOOKUP($E15,TeamT[],5,FALSE)</f>
        <v>#N/A</v>
      </c>
      <c r="BD15" s="1" t="e">
        <f>VLOOKUP($E15,TeamT[],6,FALSE)</f>
        <v>#N/A</v>
      </c>
      <c r="BE15" s="1" t="e">
        <f>VLOOKUP($E15,TeamT[],19,FALSE)</f>
        <v>#N/A</v>
      </c>
      <c r="BF15" s="1" t="e">
        <f>VLOOKUP($E15,TeamT[],20,FALSE)</f>
        <v>#N/A</v>
      </c>
      <c r="BG15" s="1" t="e">
        <f>VLOOKUP($E15,TeamT[],21,FALSE)</f>
        <v>#N/A</v>
      </c>
    </row>
    <row r="16" spans="2:59 1030:1031" ht="34.9" customHeight="1" thickBot="1" x14ac:dyDescent="0.2">
      <c r="B16" s="180">
        <v>12</v>
      </c>
      <c r="C16" s="110"/>
      <c r="D16" s="70">
        <f t="shared" si="1"/>
        <v>0</v>
      </c>
      <c r="E16" s="264"/>
      <c r="F16" s="264"/>
      <c r="G16" s="264"/>
      <c r="H16" s="72" t="str">
        <f>IF($E16&lt;&gt;"",VLOOKUP(E16,TeamT[],4,FALSE),"")</f>
        <v/>
      </c>
      <c r="I16" s="229" t="str">
        <f>IF($E16="","",IF(VLOOKUP($E16,TeamT[],5,FALSE)+COUNTIF($AJ16:$AO16,"=+MA")+$AE16&gt;9,9,IF(VLOOKUP($E16,TeamT[],5,FALSE)+COUNTIF($AJ16:$AO16,"=+MA")+$AE16&lt;1,1,VLOOKUP($E16,TeamT[],5,FALSE)+COUNTIF($AJ16:$AO16,"=+MA")+$AE16)))</f>
        <v/>
      </c>
      <c r="J16" s="230" t="str">
        <f>IF($E16="","",IF(VLOOKUP($E16,TeamT[],6,FALSE)+COUNTIF($AJ16:$AO16,"=+ST")+$AF16&gt;8,8,IF(VLOOKUP($E16,TeamT[],6,FALSE)+COUNTIF($AJ16:$AO16,"=+ST")+$AF16&lt;1,1,VLOOKUP($E16,TeamT[],6,FALSE)+COUNTIF($AJ16:$AO16,"=+ST")+$AF16)))</f>
        <v/>
      </c>
      <c r="K16" s="231" t="str">
        <f>IF($E16="","",IF(VLOOKUP($E16,TeamT[],19,FALSE)-COUNTIF($AJ16:$AO16,"=+AG")-$AG16&gt;6,6,IF(VLOOKUP($E16,TeamT[],19,FALSE)-COUNTIF($AJ16:$AO16,"=+AG")-$AG16&lt;1,1,VLOOKUP($E16,TeamT[],19,FALSE)-COUNTIF($AJ16:$AO16,"=+AG")-$AG16)))</f>
        <v/>
      </c>
      <c r="L16" s="231" t="str">
        <f>IF($E16="","",IF(VLOOKUP($E16,TeamT[],20,FALSE)="-","-",IF(VLOOKUP($E16,TeamT[],20,FALSE)-COUNTIF($AJ16:$AO16,"=+PA")-$AH16&gt;6,6,IF(VLOOKUP($E16,TeamT[],20,FALSE)-COUNTIF($AJ16:$AO16,"=+PA")-$AH16&lt;1,1,VLOOKUP($E16,TeamT[],20,FALSE)-COUNTIF($AJ16:$AO16,"=+PA")-$AH16))))</f>
        <v/>
      </c>
      <c r="M16" s="231" t="str">
        <f>IF($E16="","",IF(VLOOKUP($E16,TeamT[],21,FALSE)+COUNTIF($AJ16:$AO16,"=+AV")+$AI16&gt;11,11,IF(VLOOKUP($E16,TeamT[],21,FALSE)+COUNTIF($AJ16:$AO16,"=+AV")+$AI16&lt;3,3,VLOOKUP($E16,TeamT[],21,FALSE)+COUNTIF($AJ16:$AO16,"=+AV")+$AI16)))</f>
        <v/>
      </c>
      <c r="N16" s="225" t="str">
        <f>IF($E16="","",IF(COUNTIF($E$5:$E$20,$E16)&gt;VLOOKUP($E16,TeamT[],4,FALSE),"ERROR! Too many Player wit same role",(IF(Reces!$BR15&lt;&gt;0,"ERROR! Too many Big Guys!",(IF(Reces!$BT15&lt;&gt;0,"ERROR! Too many Star Players!",VLOOKUP($E16,TeamT[],10,FALSE)))))))</f>
        <v/>
      </c>
      <c r="O16" s="106" t="str">
        <f t="shared" si="2"/>
        <v/>
      </c>
      <c r="P16" s="254"/>
      <c r="Q16" s="254"/>
      <c r="R16" s="183"/>
      <c r="S16" s="183"/>
      <c r="T16" s="183"/>
      <c r="U16" s="183"/>
      <c r="V16" s="183"/>
      <c r="W16" s="183"/>
      <c r="X16" s="184"/>
      <c r="Y16" s="117">
        <f t="shared" si="0"/>
        <v>0</v>
      </c>
      <c r="Z16" s="172">
        <f>IF(LEFT($E16,1)="*","Star",$Y16+IF($AJ16=0,0,IF(OR($AJ16="+MA",$AJ16="+ST",$AJ16="+AG",$AJ16="+PA",$AJ16="+AV"),-18,IF(VLOOKUP($AJ16,AbilityT[],2,FALSE)="General",-6*VLOOKUP($E16,TeamT[],11,FALSE),IF(VLOOKUP($AJ16,AbilityT[],2,FALSE)="Agility",-6*VLOOKUP($E16,TeamT[],12,FALSE),IF(VLOOKUP($AJ16,AbilityT[],2,FALSE)="Strength",-6*VLOOKUP($E16,TeamT[],13,FALSE),IF(VLOOKUP($AJ16,AbilityT[],2,FALSE)="Passing",-6*VLOOKUP($E16,TeamT[],14,FALSE),IF(VLOOKUP($AJ16,AbilityT[],2,FALSE)="Mutation",-6*VLOOKUP($E16,TeamT[],15,FALSE),IF(VLOOKUP($AJ16,AbilityT[],2,FALSE)="General_R",-3*VLOOKUP($E16,TeamT[],11,FALSE),IF(VLOOKUP($AJ16,AbilityT[],2,FALSE)="Agility_R",-3*VLOOKUP($E16,TeamT[],12,FALSE),IF(VLOOKUP($AJ16,AbilityT[],2,FALSE)="Strength_R",-3*VLOOKUP($E16,TeamT[],13,FALSE),IF(VLOOKUP($AJ16,AbilityT[],2,FALSE)="Passing_R",-3*VLOOKUP($E16,TeamT[],14,FALSE),IF(VLOOKUP($AJ16,AbilityT[],2,FALSE)="Mutation_R",-3*VLOOKUP($E16,TeamT[],15,FALSE),"ERROR")))))))))))+IF($AK16=0,0,IF(OR($AK16="+MA",$AK16="+ST",$AK16="+AG",$AK16="+PA",$AK16="+AV"),-20,IF(VLOOKUP($AK16,AbilityT[],2,FALSE)="General",IF(VLOOKUP($E16,TeamT[],11,FALSE)=1,-8*VLOOKUP($E16,TeamT[],11,FALSE),-7*VLOOKUP($E16,TeamT[],11,FALSE)),IF(VLOOKUP($AK16,AbilityT[],2,FALSE)="Agility",IF(VLOOKUP($E16,TeamT[],12,FALSE)=1,-8*VLOOKUP($E16,TeamT[],12,FALSE),-7*VLOOKUP($E16,TeamT[],12,FALSE)),IF(VLOOKUP($AK16,AbilityT[],2,FALSE)="Strength",IF(VLOOKUP($E16,TeamT[],13,FALSE)=1,-8*VLOOKUP($E16,TeamT[],13,FALSE),-7*VLOOKUP($E16,TeamT[],13,FALSE)),IF(VLOOKUP($AK16,AbilityT[],2,FALSE)="Passing",IF(VLOOKUP($E16,TeamT[],14,FALSE)=1,-8*VLOOKUP($E16,TeamT[],14,FALSE),-7*VLOOKUP($E16,TeamT[],14,FALSE)),IF(VLOOKUP($AK16,AbilityT[],2,FALSE)="Mutation",IF(VLOOKUP($E16,TeamT[],15,FALSE)=1,-8*VLOOKUP($E16,TeamT[],15,FALSE),-7*VLOOKUP($E16,TeamT[],15,FALSE)),IF(VLOOKUP($AK16,AbilityT[],2,FALSE)="General_R",-4*VLOOKUP($E16,TeamT[],11,FALSE),IF(VLOOKUP($AK16,AbilityT[],2,FALSE)="Agility_R",-4*VLOOKUP($E16,TeamT[],12,FALSE),IF(VLOOKUP($AK16,AbilityT[],2,FALSE)="Strength_R",-4*VLOOKUP($E16,TeamT[],13,FALSE),IF(VLOOKUP($AK16,AbilityT[],2,FALSE)="Passing_R",-4*VLOOKUP($E16,TeamT[],14,FALSE),IF(VLOOKUP($AK16,AbilityT[],2,FALSE)="Mutation_R",-4*VLOOKUP($E16,TeamT[],15,FALSE),"ERROR"))))))))))))+IF($AL16=0,0,IF(OR($AL16="+MA",$AL16="+ST",$AL16="+AG",$AL16="+PA",$AL16="+AV"),-24,IF(VLOOKUP($AL16,AbilityT[],2,FALSE)="General",IF(VLOOKUP($E16,TeamT[],11,FALSE)=1,-12*VLOOKUP($E16,TeamT[],11,FALSE),-9*VLOOKUP($E16,TeamT[],11,FALSE)),IF(VLOOKUP($AL16,AbilityT[],2,FALSE)="Agility",IF(VLOOKUP($E16,TeamT[],12,FALSE)=1,-12*VLOOKUP($E16,TeamT[],12,FALSE),-9*VLOOKUP($E16,TeamT[],12,FALSE)),IF(VLOOKUP($AL16,AbilityT[],2,FALSE)="Strength",IF(VLOOKUP($E16,TeamT[],13,FALSE)=1,-12*VLOOKUP($E16,TeamT[],13,FALSE),-9*VLOOKUP($E16,TeamT[],13,FALSE)),IF(VLOOKUP($AL16,AbilityT[],2,FALSE)="Passing",IF(VLOOKUP($E16,TeamT[],14,FALSE)=1,-12*VLOOKUP($E16,TeamT[],14,FALSE),-9*VLOOKUP($E16,TeamT[],14,FALSE)),IF(VLOOKUP($AL16,AbilityT[],2,FALSE)="Mutation",IF(VLOOKUP($E16,TeamT[],15,FALSE)=1,-12*VLOOKUP($E16,TeamT[],15,FALSE),-9*VLOOKUP($E16,TeamT[],15,FALSE)),IF(VLOOKUP($AL16,AbilityT[],2,FALSE)="General_R",-6*VLOOKUP($E16,TeamT[],11,FALSE),IF(VLOOKUP($AL16,AbilityT[],2,FALSE)="Agility_R",-6*VLOOKUP($E16,TeamT[],12,FALSE),IF(VLOOKUP($AL16,AbilityT[],2,FALSE)="Strength_R",-6*VLOOKUP($E16,TeamT[],13,FALSE),IF(VLOOKUP($AL16,AbilityT[],2,FALSE)="Passing_R",-6*VLOOKUP($E16,TeamT[],14,FALSE),IF(VLOOKUP($AL16,AbilityT[],2,FALSE)="Mutation_R",-6*VLOOKUP($E16,TeamT[],15,FALSE),"ERROR"))))))))))))+IF($AM16=0,0,IF(OR($AM16="+MA",$AM16="+ST",$AM16="+AG",$AM16="+PA",$AM16="+AV"),-28,IF(VLOOKUP($AM16,AbilityT[],2,FALSE)="General",IF(VLOOKUP($E16,TeamT[],11,FALSE)=1,-16*VLOOKUP($E16,TeamT[],11,FALSE),-11*VLOOKUP($E16,TeamT[],11,FALSE)),IF(VLOOKUP($AM16,AbilityT[],2,FALSE)="Agility",IF(VLOOKUP($E16,TeamT[],12,FALSE)=1,-16*VLOOKUP($E16,TeamT[],12,FALSE),-11*VLOOKUP($E16,TeamT[],12,FALSE)),IF(VLOOKUP($AM16,AbilityT[],2,FALSE)="Strength",IF(VLOOKUP($E16,TeamT[],13,FALSE)=1,-16*VLOOKUP($E16,TeamT[],13,FALSE),-11*VLOOKUP($E16,TeamT[],13,FALSE)),IF(VLOOKUP($AM16,AbilityT[],2,FALSE)="Passing",IF(VLOOKUP($E16,TeamT[],14,FALSE)=1,-16*VLOOKUP($E16,TeamT[],14,FALSE),-11*VLOOKUP($E16,TeamT[],14,FALSE)),IF(VLOOKUP($AM16,AbilityT[],2,FALSE)="Mutation",IF(VLOOKUP($E16,TeamT[],15,FALSE)=1,-16*VLOOKUP($E16,TeamT[],15,FALSE),-11*VLOOKUP($E16,TeamT[],15,FALSE)),IF(VLOOKUP($AM16,AbilityT[],2,FALSE)="General_R",-8*VLOOKUP($E16,TeamT[],11,FALSE),IF(VLOOKUP($AM16,AbilityT[],2,FALSE)="Agility_R",-8*VLOOKUP($E16,TeamT[],12,FALSE),IF(VLOOKUP($AM16,AbilityT[],2,FALSE)="Strength_R",-8*VLOOKUP($E16,TeamT[],13,FALSE),IF(VLOOKUP($AM16,AbilityT[],2,FALSE)="Passing_R",-8*VLOOKUP($E16,TeamT[],14,FALSE),IF(VLOOKUP($AM16,AbilityT[],2,FALSE)="Mutation_R",-8*VLOOKUP($E16,TeamT[],15,FALSE),"ERROR"))))))))))))+IF($AN16=0,0,IF(OR($AN16="+MA",$AN16="+ST",$AN16="+AG",$AN16="+PA",$AN16="+AV"),-32,IF(VLOOKUP($AN16,AbilityT[],2,FALSE)="General",IF(VLOOKUP($E16,TeamT[],11,FALSE)=1,-20*VLOOKUP($E16,TeamT[],11,FALSE),-13*VLOOKUP($E16,TeamT[],11,FALSE)),IF(VLOOKUP($AN16,AbilityT[],2,FALSE)="Agility",IF(VLOOKUP($E16,TeamT[],12,FALSE)=1,-20*VLOOKUP($E16,TeamT[],12,FALSE),-13*VLOOKUP($E16,TeamT[],12,FALSE)),IF(VLOOKUP($AN16,AbilityT[],2,FALSE)="Strength",IF(VLOOKUP($E16,TeamT[],13,FALSE)=1,-20*VLOOKUP($E16,TeamT[],13,FALSE),-13*VLOOKUP($E16,TeamT[],13,FALSE)),IF(VLOOKUP($AN16,AbilityT[],2,FALSE)="Passing",IF(VLOOKUP($E16,TeamT[],14,FALSE)=1,-20*VLOOKUP($E16,TeamT[],14,FALSE),-13*VLOOKUP($E16,TeamT[],14,FALSE)),IF(VLOOKUP($AN16,AbilityT[],2,FALSE)="Mutation",IF(VLOOKUP($E16,TeamT[],15,FALSE)=1,-20*VLOOKUP($E16,TeamT[],15,FALSE),-13*VLOOKUP($E16,TeamT[],15,FALSE)),IF(VLOOKUP($AN16,AbilityT[],2,FALSE)="General_R",-10*VLOOKUP($E16,TeamT[],11,FALSE),IF(VLOOKUP($AN16,AbilityT[],2,FALSE)="Agility_R",-10*VLOOKUP($E16,TeamT[],12,FALSE),IF(VLOOKUP($AN16,AbilityT[],2,FALSE)="Strength_R",-10*VLOOKUP($E16,TeamT[],13,FALSE),IF(VLOOKUP($AN16,AbilityT[],2,FALSE)="Passing_R",-10*VLOOKUP($E16,TeamT[],14,FALSE),IF(VLOOKUP($AN16,AbilityT[],2,FALSE)="Mutation_R",-10*VLOOKUP($E16,TeamT[],15,FALSE),"ERROR"))))))))))))+IF($AO16=0,0,IF(OR($AO16="+MA",$AO16="+ST",$AO16="+AG",$AO16="+PA",$AO16="+AV"),-50,IF(VLOOKUP($AO16,AbilityT[],2,FALSE)="General",IF(VLOOKUP($E16,TeamT[],11,FALSE)=1,-30*VLOOKUP($E16,TeamT[],11,FALSE),-20*VLOOKUP($E16,TeamT[],11,FALSE)),IF(VLOOKUP($AO16,AbilityT[],2,FALSE)="Agility",IF(VLOOKUP($E16,TeamT[],12,FALSE)=1,-30*VLOOKUP($E16,TeamT[],12,FALSE),-20*VLOOKUP($E16,TeamT[],12,FALSE)),IF(VLOOKUP($AO16,AbilityT[],2,FALSE)="Strength",IF(VLOOKUP($E16,TeamT[],13,FALSE)=1,-30*VLOOKUP($E16,TeamT[],13,FALSE),-20*VLOOKUP($E16,TeamT[],13,FALSE)),IF(VLOOKUP($AO16,AbilityT[],2,FALSE)="Passing",IF(VLOOKUP($E16,TeamT[],14,FALSE)=1,-30*VLOOKUP($E16,TeamT[],14,FALSE),-20*VLOOKUP($E16,TeamT[],14,FALSE)),IF(VLOOKUP($AO16,AbilityT[],2,FALSE)="Mutation",IF(VLOOKUP($E16,TeamT[],15,FALSE)=1,-30*VLOOKUP($E16,TeamT[],15,FALSE),-20*VLOOKUP($E16,TeamT[],15,FALSE)),IF(VLOOKUP($AO16,AbilityT[],2,FALSE)="General_R",-15*VLOOKUP($E16,TeamT[],11,FALSE),IF(VLOOKUP($AO16,AbilityT[],2,FALSE)="Agility_R",-15*VLOOKUP($E16,TeamT[],12,FALSE),IF(VLOOKUP($AO16,AbilityT[],2,FALSE)="Strength_R",-15*VLOOKUP($E16,TeamT[],13,FALSE),IF(VLOOKUP($AO16,AbilityT[],2,FALSE)="Passing_R",-15*VLOOKUP($E16,TeamT[],14,FALSE),IF(VLOOKUP($AO16,AbilityT[],2,FALSE)="Mutation_R",-15*VLOOKUP($E16,TeamT[],15,FALSE),"ERROR")))))))))))))+IF($AA16&lt;=5,-6*$AA16,-6*$AA16-4))</f>
        <v>0</v>
      </c>
      <c r="AA16" s="188"/>
      <c r="AB16" s="115">
        <f>IF($E16="",0,VLOOKUP($E16,TeamT[],3,FALSE)+IF($O$28="Tournament Setup",0,IF($AJ16="",0,IF($AJ16="+AV",10000,IF(OR($AJ16="+MA",$AJ16="+PA"),20000,IF($AJ16="+AG",40000,IF($AJ16="+ST",80000,20000*IF(VLOOKUP($AJ16,AbilityT[],2,FALSE)="General",VLOOKUP($E16,TeamT[],11,FALSE),IF(VLOOKUP($AJ16,AbilityT[],2,FALSE)="Agility",VLOOKUP($E16,TeamT[],12,FALSE),IF(VLOOKUP($AJ16,AbilityT[],2,FALSE)="Strength",VLOOKUP($E16,TeamT[],13,FALSE),IF(VLOOKUP($AJ16,AbilityT[],2,FALSE)="Passing",VLOOKUP($E16,TeamT[],14,FALSE),IF(VLOOKUP($AJ16,AbilityT[],2,FALSE)="Mutation",VLOOKUP($E16,TeamT[],15,FALSE),IF(VLOOKUP($AJ16,AbilityT[],2,FALSE)="General_R",0.5*VLOOKUP($E16,TeamT[],11,FALSE),IF(VLOOKUP($AJ16,AbilityT[],2,FALSE)="Agility_R",0.5*VLOOKUP($E16,TeamT[],12,FALSE),IF(VLOOKUP($AJ16,AbilityT[],2,FALSE)="Strength_R",0.5*VLOOKUP($E16,TeamT[],13,FALSE),IF(VLOOKUP($AJ16,AbilityT[],2,FALSE)="Passing_R",0.5*VLOOKUP($E16,TeamT[],14,FALSE),IF(VLOOKUP($AJ16,AbilityT[],2,FALSE)="Mutation_R",0.5*VLOOKUP($E16,TeamT[],15,FALSE),"ERROR")))))))))))))))+IF($AK16="",0,IF($AK16="+AV",10000,IF(OR($AK16="+MA",$AK16="+PA"),20000,IF($AK16="+AG",40000,IF($AK16="+ST",80000,20000*IF(VLOOKUP($AK16,AbilityT[],2,FALSE)="General",VLOOKUP($E16,TeamT[],11,FALSE),IF(VLOOKUP($AK16,AbilityT[],2,FALSE)="Agility",VLOOKUP($E16,TeamT[],12,FALSE),IF(VLOOKUP($AK16,AbilityT[],2,FALSE)="Strength",VLOOKUP($E16,TeamT[],13,FALSE),IF(VLOOKUP($AK16,AbilityT[],2,FALSE)="Passing",VLOOKUP($E16,TeamT[],14,FALSE),IF(VLOOKUP($AK16,AbilityT[],2,FALSE)="Mutation",VLOOKUP($E16,TeamT[],15,FALSE),IF(VLOOKUP($AK16,AbilityT[],2,FALSE)="General_R",0.5*VLOOKUP($E16,TeamT[],11,FALSE),IF(VLOOKUP($AK16,AbilityT[],2,FALSE)="Agility_R",0.5*VLOOKUP($E16,TeamT[],12,FALSE),IF(VLOOKUP($AK16,AbilityT[],2,FALSE)="Strength_R",0.5*VLOOKUP($E16,TeamT[],13,FALSE),IF(VLOOKUP($AK16,AbilityT[],2,FALSE)="Passing_R",0.5*VLOOKUP($E16,TeamT[],14,FALSE),IF(VLOOKUP($AK16,AbilityT[],2,FALSE)="Mutation_R",0.5*VLOOKUP($E16,TeamT[],15,FALSE),"ERROR")))))))))))))))+IF($AL16="",0,IF($AL16="+AV",10000,IF(OR($AL16="+MA",$AL16="+PA"),20000,IF($AL16="+AG",40000,IF($AL16="+ST",80000,20000*IF(VLOOKUP($AL16,AbilityT[],2,FALSE)="General",VLOOKUP($E16,TeamT[],11,FALSE),IF(VLOOKUP($AL16,AbilityT[],2,FALSE)="Agility",VLOOKUP($E16,TeamT[],12,FALSE),IF(VLOOKUP($AL16,AbilityT[],2,FALSE)="Strength",VLOOKUP($E16,TeamT[],13,FALSE),IF(VLOOKUP($AL16,AbilityT[],2,FALSE)="Passing",VLOOKUP($E16,TeamT[],14,FALSE),IF(VLOOKUP($AL16,AbilityT[],2,FALSE)="Mutation",VLOOKUP($E16,TeamT[],15,FALSE),IF(VLOOKUP($AL16,AbilityT[],2,FALSE)="General_R",0.5*VLOOKUP($E16,TeamT[],11,FALSE),IF(VLOOKUP($AL16,AbilityT[],2,FALSE)="Agility_R",0.5*VLOOKUP($E16,TeamT[],12,FALSE),IF(VLOOKUP($AL16,AbilityT[],2,FALSE)="Strength_R",0.5*VLOOKUP($E16,TeamT[],13,FALSE),IF(VLOOKUP($AL16,AbilityT[],2,FALSE)="Passing_R",0.5*VLOOKUP($E16,TeamT[],14,FALSE),IF(VLOOKUP($AL16,AbilityT[],2,FALSE)="Mutation_R",0.5*VLOOKUP($E16,TeamT[],15,FALSE),"ERROR")))))))))))))))+IF($AM16="",0,IF($AM16="+AV",10000,IF(OR($AM16="+MA",$AM16="+PA"),20000,IF($AM16="+AG",40000,IF($AM16="+ST",80000,20000*IF(VLOOKUP($AM16,AbilityT[],2,FALSE)="General",VLOOKUP($E16,TeamT[],11,FALSE),IF(VLOOKUP($AM16,AbilityT[],2,FALSE)="Agility",VLOOKUP($E16,TeamT[],12,FALSE),IF(VLOOKUP($AM16,AbilityT[],2,FALSE)="Strength",VLOOKUP($E16,TeamT[],13,FALSE),IF(VLOOKUP($AM16,AbilityT[],2,FALSE)="Passing",VLOOKUP($E16,TeamT[],14,FALSE),IF(VLOOKUP($AM16,AbilityT[],2,FALSE)="Mutation",VLOOKUP($E16,TeamT[],15,FALSE),IF(VLOOKUP($AM16,AbilityT[],2,FALSE)="General_R",0.5*VLOOKUP($E16,TeamT[],11,FALSE),IF(VLOOKUP($AM16,AbilityT[],2,FALSE)="Agility_R",0.5*VLOOKUP($E16,TeamT[],12,FALSE),IF(VLOOKUP($AM16,AbilityT[],2,FALSE)="Strength_R",0.5*VLOOKUP($E16,TeamT[],13,FALSE),IF(VLOOKUP($AM16,AbilityT[],2,FALSE)="Passing_R",0.5*VLOOKUP($E16,TeamT[],14,FALSE),IF(VLOOKUP($AM16,AbilityT[],2,FALSE)="Mutation_R",0.5*VLOOKUP($E16,TeamT[],15,FALSE),"ERROR")))))))))))))))+IF($AN16="",0,IF($AN16="+AV",10000,IF(OR($AN16="+MA",$AN16="+PA"),20000,IF($AN16="+AG",40000,IF($AN16="+ST",80000,20000*IF(VLOOKUP($AN16,AbilityT[],2,FALSE)="General",VLOOKUP($E16,TeamT[],11,FALSE),IF(VLOOKUP($AN16,AbilityT[],2,FALSE)="Agility",VLOOKUP($E16,TeamT[],12,FALSE),IF(VLOOKUP($AN16,AbilityT[],2,FALSE)="Strength",VLOOKUP($E16,TeamT[],13,FALSE),IF(VLOOKUP($AN16,AbilityT[],2,FALSE)="Passing",VLOOKUP($E16,TeamT[],14,FALSE),IF(VLOOKUP($AN16,AbilityT[],2,FALSE)="Mutation",VLOOKUP($E16,TeamT[],15,FALSE),IF(VLOOKUP($AN16,AbilityT[],2,FALSE)="General_R",0.5*VLOOKUP($E16,TeamT[],11,FALSE),IF(VLOOKUP($AN16,AbilityT[],2,FALSE)="Agility_R",0.5*VLOOKUP($E16,TeamT[],12,FALSE),IF(VLOOKUP($AN16,AbilityT[],2,FALSE)="Strength_R",0.5*VLOOKUP($E16,TeamT[],13,FALSE),IF(VLOOKUP($AN16,AbilityT[],2,FALSE)="Passing_R",0.5*VLOOKUP($E16,TeamT[],14,FALSE),IF(VLOOKUP($AN16,AbilityT[],2,FALSE)="Mutation_R",0.5*VLOOKUP($E16,TeamT[],15,FALSE),"ERROR")))))))))))))))+IF($AO16="",0,IF($AO16="+AV",10000,IF(OR($AO16="+MA",$AO16="+PA"),20000,IF($AO16="+AG",40000,IF($AO16="+ST",80000,20000*IF(VLOOKUP($AO16,AbilityT[],2,FALSE)="General",VLOOKUP($E16,TeamT[],11,FALSE),IF(VLOOKUP($AO16,AbilityT[],2,FALSE)="Agility",VLOOKUP($E16,TeamT[],12,FALSE),IF(VLOOKUP($AO16,AbilityT[],2,FALSE)="Strength",VLOOKUP($E16,TeamT[],13,FALSE),IF(VLOOKUP($AO16,AbilityT[],2,FALSE)="Passing",VLOOKUP($E16,TeamT[],14,FALSE),IF(VLOOKUP($AO16,AbilityT[],2,FALSE)="Mutation",VLOOKUP($E16,TeamT[],15,FALSE),IF(VLOOKUP($AO16,AbilityT[],2,FALSE)="General_R",0.5*VLOOKUP($E16,TeamT[],11,FALSE),IF(VLOOKUP($AO16,AbilityT[],2,FALSE)="Agility_R",0.5*VLOOKUP($E16,TeamT[],12,FALSE),IF(VLOOKUP($AO16,AbilityT[],2,FALSE)="Strength_R",0.5*VLOOKUP($E16,TeamT[],13,FALSE),IF(VLOOKUP($AO16,AbilityT[],2,FALSE)="Passing_R",0.5*VLOOKUP($E16,TeamT[],14,FALSE),IF(VLOOKUP($AO16,AbilityT[],2,FALSE)="Mutation_R",0.5*VLOOKUP($E16,TeamT[],15,FALSE),"ERROR"))))))))))))))))+$AC16)</f>
        <v>0</v>
      </c>
      <c r="AC16" s="190"/>
      <c r="AD16" s="193"/>
      <c r="AE16" s="119"/>
      <c r="AF16" s="120"/>
      <c r="AG16" s="120"/>
      <c r="AH16" s="120"/>
      <c r="AI16" s="121"/>
      <c r="AJ16" s="118"/>
      <c r="AK16" s="118"/>
      <c r="AL16" s="118"/>
      <c r="AM16" s="118"/>
      <c r="AN16" s="118"/>
      <c r="AO16" s="118"/>
      <c r="AP16" s="199"/>
      <c r="BC16" s="1" t="e">
        <f>VLOOKUP($E16,TeamT[],5,FALSE)</f>
        <v>#N/A</v>
      </c>
      <c r="BD16" s="1" t="e">
        <f>VLOOKUP($E16,TeamT[],6,FALSE)</f>
        <v>#N/A</v>
      </c>
      <c r="BE16" s="1" t="e">
        <f>VLOOKUP($E16,TeamT[],19,FALSE)</f>
        <v>#N/A</v>
      </c>
      <c r="BF16" s="1" t="e">
        <f>VLOOKUP($E16,TeamT[],20,FALSE)</f>
        <v>#N/A</v>
      </c>
      <c r="BG16" s="1" t="e">
        <f>VLOOKUP($E16,TeamT[],21,FALSE)</f>
        <v>#N/A</v>
      </c>
    </row>
    <row r="17" spans="2:59" ht="34.9" customHeight="1" thickBot="1" x14ac:dyDescent="0.2">
      <c r="B17" s="180">
        <v>13</v>
      </c>
      <c r="C17" s="110"/>
      <c r="D17" s="70">
        <f t="shared" si="1"/>
        <v>0</v>
      </c>
      <c r="E17" s="264"/>
      <c r="F17" s="264"/>
      <c r="G17" s="264"/>
      <c r="H17" s="72" t="str">
        <f>IF($E17&lt;&gt;"",VLOOKUP(E17,TeamT[],4,FALSE),"")</f>
        <v/>
      </c>
      <c r="I17" s="229" t="str">
        <f>IF($E17="","",IF(VLOOKUP($E17,TeamT[],5,FALSE)+COUNTIF($AJ17:$AO17,"=+MA")+$AE17&gt;9,9,IF(VLOOKUP($E17,TeamT[],5,FALSE)+COUNTIF($AJ17:$AO17,"=+MA")+$AE17&lt;1,1,VLOOKUP($E17,TeamT[],5,FALSE)+COUNTIF($AJ17:$AO17,"=+MA")+$AE17)))</f>
        <v/>
      </c>
      <c r="J17" s="230" t="str">
        <f>IF($E17="","",IF(VLOOKUP($E17,TeamT[],6,FALSE)+COUNTIF($AJ17:$AO17,"=+ST")+$AF17&gt;8,8,IF(VLOOKUP($E17,TeamT[],6,FALSE)+COUNTIF($AJ17:$AO17,"=+ST")+$AF17&lt;1,1,VLOOKUP($E17,TeamT[],6,FALSE)+COUNTIF($AJ17:$AO17,"=+ST")+$AF17)))</f>
        <v/>
      </c>
      <c r="K17" s="231" t="str">
        <f>IF($E17="","",IF(VLOOKUP($E17,TeamT[],19,FALSE)-COUNTIF($AJ17:$AO17,"=+AG")-$AG17&gt;6,6,IF(VLOOKUP($E17,TeamT[],19,FALSE)-COUNTIF($AJ17:$AO17,"=+AG")-$AG17&lt;1,1,VLOOKUP($E17,TeamT[],19,FALSE)-COUNTIF($AJ17:$AO17,"=+AG")-$AG17)))</f>
        <v/>
      </c>
      <c r="L17" s="231" t="str">
        <f>IF($E17="","",IF(VLOOKUP($E17,TeamT[],20,FALSE)="-","-",IF(VLOOKUP($E17,TeamT[],20,FALSE)-COUNTIF($AJ17:$AO17,"=+PA")-$AH17&gt;6,6,IF(VLOOKUP($E17,TeamT[],20,FALSE)-COUNTIF($AJ17:$AO17,"=+PA")-$AH17&lt;1,1,VLOOKUP($E17,TeamT[],20,FALSE)-COUNTIF($AJ17:$AO17,"=+PA")-$AH17))))</f>
        <v/>
      </c>
      <c r="M17" s="231" t="str">
        <f>IF($E17="","",IF(VLOOKUP($E17,TeamT[],21,FALSE)+COUNTIF($AJ17:$AO17,"=+AV")+$AI17&gt;11,11,IF(VLOOKUP($E17,TeamT[],21,FALSE)+COUNTIF($AJ17:$AO17,"=+AV")+$AI17&lt;3,3,VLOOKUP($E17,TeamT[],21,FALSE)+COUNTIF($AJ17:$AO17,"=+AV")+$AI17)))</f>
        <v/>
      </c>
      <c r="N17" s="225" t="str">
        <f>IF($E17="","",IF(COUNTIF($E$5:$E$20,$E17)&gt;VLOOKUP($E17,TeamT[],4,FALSE),"ERROR! Too many Player wit same role",(IF(Reces!$BR16&lt;&gt;0,"ERROR! Too many Big Guys!",(IF(Reces!$BT16&lt;&gt;0,"ERROR! Too many Star Players!",VLOOKUP($E17,TeamT[],10,FALSE)))))))</f>
        <v/>
      </c>
      <c r="O17" s="106" t="str">
        <f t="shared" si="2"/>
        <v/>
      </c>
      <c r="P17" s="254"/>
      <c r="Q17" s="254"/>
      <c r="R17" s="183"/>
      <c r="S17" s="183"/>
      <c r="T17" s="183"/>
      <c r="U17" s="183"/>
      <c r="V17" s="183"/>
      <c r="W17" s="183"/>
      <c r="X17" s="184"/>
      <c r="Y17" s="117">
        <f t="shared" si="0"/>
        <v>0</v>
      </c>
      <c r="Z17" s="172">
        <f>IF(LEFT($E17,1)="*","Star",$Y17+IF($AJ17=0,0,IF(OR($AJ17="+MA",$AJ17="+ST",$AJ17="+AG",$AJ17="+PA",$AJ17="+AV"),-18,IF(VLOOKUP($AJ17,AbilityT[],2,FALSE)="General",-6*VLOOKUP($E17,TeamT[],11,FALSE),IF(VLOOKUP($AJ17,AbilityT[],2,FALSE)="Agility",-6*VLOOKUP($E17,TeamT[],12,FALSE),IF(VLOOKUP($AJ17,AbilityT[],2,FALSE)="Strength",-6*VLOOKUP($E17,TeamT[],13,FALSE),IF(VLOOKUP($AJ17,AbilityT[],2,FALSE)="Passing",-6*VLOOKUP($E17,TeamT[],14,FALSE),IF(VLOOKUP($AJ17,AbilityT[],2,FALSE)="Mutation",-6*VLOOKUP($E17,TeamT[],15,FALSE),IF(VLOOKUP($AJ17,AbilityT[],2,FALSE)="General_R",-3*VLOOKUP($E17,TeamT[],11,FALSE),IF(VLOOKUP($AJ17,AbilityT[],2,FALSE)="Agility_R",-3*VLOOKUP($E17,TeamT[],12,FALSE),IF(VLOOKUP($AJ17,AbilityT[],2,FALSE)="Strength_R",-3*VLOOKUP($E17,TeamT[],13,FALSE),IF(VLOOKUP($AJ17,AbilityT[],2,FALSE)="Passing_R",-3*VLOOKUP($E17,TeamT[],14,FALSE),IF(VLOOKUP($AJ17,AbilityT[],2,FALSE)="Mutation_R",-3*VLOOKUP($E17,TeamT[],15,FALSE),"ERROR")))))))))))+IF($AK17=0,0,IF(OR($AK17="+MA",$AK17="+ST",$AK17="+AG",$AK17="+PA",$AK17="+AV"),-20,IF(VLOOKUP($AK17,AbilityT[],2,FALSE)="General",IF(VLOOKUP($E17,TeamT[],11,FALSE)=1,-8*VLOOKUP($E17,TeamT[],11,FALSE),-7*VLOOKUP($E17,TeamT[],11,FALSE)),IF(VLOOKUP($AK17,AbilityT[],2,FALSE)="Agility",IF(VLOOKUP($E17,TeamT[],12,FALSE)=1,-8*VLOOKUP($E17,TeamT[],12,FALSE),-7*VLOOKUP($E17,TeamT[],12,FALSE)),IF(VLOOKUP($AK17,AbilityT[],2,FALSE)="Strength",IF(VLOOKUP($E17,TeamT[],13,FALSE)=1,-8*VLOOKUP($E17,TeamT[],13,FALSE),-7*VLOOKUP($E17,TeamT[],13,FALSE)),IF(VLOOKUP($AK17,AbilityT[],2,FALSE)="Passing",IF(VLOOKUP($E17,TeamT[],14,FALSE)=1,-8*VLOOKUP($E17,TeamT[],14,FALSE),-7*VLOOKUP($E17,TeamT[],14,FALSE)),IF(VLOOKUP($AK17,AbilityT[],2,FALSE)="Mutation",IF(VLOOKUP($E17,TeamT[],15,FALSE)=1,-8*VLOOKUP($E17,TeamT[],15,FALSE),-7*VLOOKUP($E17,TeamT[],15,FALSE)),IF(VLOOKUP($AK17,AbilityT[],2,FALSE)="General_R",-4*VLOOKUP($E17,TeamT[],11,FALSE),IF(VLOOKUP($AK17,AbilityT[],2,FALSE)="Agility_R",-4*VLOOKUP($E17,TeamT[],12,FALSE),IF(VLOOKUP($AK17,AbilityT[],2,FALSE)="Strength_R",-4*VLOOKUP($E17,TeamT[],13,FALSE),IF(VLOOKUP($AK17,AbilityT[],2,FALSE)="Passing_R",-4*VLOOKUP($E17,TeamT[],14,FALSE),IF(VLOOKUP($AK17,AbilityT[],2,FALSE)="Mutation_R",-4*VLOOKUP($E17,TeamT[],15,FALSE),"ERROR"))))))))))))+IF($AL17=0,0,IF(OR($AL17="+MA",$AL17="+ST",$AL17="+AG",$AL17="+PA",$AL17="+AV"),-24,IF(VLOOKUP($AL17,AbilityT[],2,FALSE)="General",IF(VLOOKUP($E17,TeamT[],11,FALSE)=1,-12*VLOOKUP($E17,TeamT[],11,FALSE),-9*VLOOKUP($E17,TeamT[],11,FALSE)),IF(VLOOKUP($AL17,AbilityT[],2,FALSE)="Agility",IF(VLOOKUP($E17,TeamT[],12,FALSE)=1,-12*VLOOKUP($E17,TeamT[],12,FALSE),-9*VLOOKUP($E17,TeamT[],12,FALSE)),IF(VLOOKUP($AL17,AbilityT[],2,FALSE)="Strength",IF(VLOOKUP($E17,TeamT[],13,FALSE)=1,-12*VLOOKUP($E17,TeamT[],13,FALSE),-9*VLOOKUP($E17,TeamT[],13,FALSE)),IF(VLOOKUP($AL17,AbilityT[],2,FALSE)="Passing",IF(VLOOKUP($E17,TeamT[],14,FALSE)=1,-12*VLOOKUP($E17,TeamT[],14,FALSE),-9*VLOOKUP($E17,TeamT[],14,FALSE)),IF(VLOOKUP($AL17,AbilityT[],2,FALSE)="Mutation",IF(VLOOKUP($E17,TeamT[],15,FALSE)=1,-12*VLOOKUP($E17,TeamT[],15,FALSE),-9*VLOOKUP($E17,TeamT[],15,FALSE)),IF(VLOOKUP($AL17,AbilityT[],2,FALSE)="General_R",-6*VLOOKUP($E17,TeamT[],11,FALSE),IF(VLOOKUP($AL17,AbilityT[],2,FALSE)="Agility_R",-6*VLOOKUP($E17,TeamT[],12,FALSE),IF(VLOOKUP($AL17,AbilityT[],2,FALSE)="Strength_R",-6*VLOOKUP($E17,TeamT[],13,FALSE),IF(VLOOKUP($AL17,AbilityT[],2,FALSE)="Passing_R",-6*VLOOKUP($E17,TeamT[],14,FALSE),IF(VLOOKUP($AL17,AbilityT[],2,FALSE)="Mutation_R",-6*VLOOKUP($E17,TeamT[],15,FALSE),"ERROR"))))))))))))+IF($AM17=0,0,IF(OR($AM17="+MA",$AM17="+ST",$AM17="+AG",$AM17="+PA",$AM17="+AV"),-28,IF(VLOOKUP($AM17,AbilityT[],2,FALSE)="General",IF(VLOOKUP($E17,TeamT[],11,FALSE)=1,-16*VLOOKUP($E17,TeamT[],11,FALSE),-11*VLOOKUP($E17,TeamT[],11,FALSE)),IF(VLOOKUP($AM17,AbilityT[],2,FALSE)="Agility",IF(VLOOKUP($E17,TeamT[],12,FALSE)=1,-16*VLOOKUP($E17,TeamT[],12,FALSE),-11*VLOOKUP($E17,TeamT[],12,FALSE)),IF(VLOOKUP($AM17,AbilityT[],2,FALSE)="Strength",IF(VLOOKUP($E17,TeamT[],13,FALSE)=1,-16*VLOOKUP($E17,TeamT[],13,FALSE),-11*VLOOKUP($E17,TeamT[],13,FALSE)),IF(VLOOKUP($AM17,AbilityT[],2,FALSE)="Passing",IF(VLOOKUP($E17,TeamT[],14,FALSE)=1,-16*VLOOKUP($E17,TeamT[],14,FALSE),-11*VLOOKUP($E17,TeamT[],14,FALSE)),IF(VLOOKUP($AM17,AbilityT[],2,FALSE)="Mutation",IF(VLOOKUP($E17,TeamT[],15,FALSE)=1,-16*VLOOKUP($E17,TeamT[],15,FALSE),-11*VLOOKUP($E17,TeamT[],15,FALSE)),IF(VLOOKUP($AM17,AbilityT[],2,FALSE)="General_R",-8*VLOOKUP($E17,TeamT[],11,FALSE),IF(VLOOKUP($AM17,AbilityT[],2,FALSE)="Agility_R",-8*VLOOKUP($E17,TeamT[],12,FALSE),IF(VLOOKUP($AM17,AbilityT[],2,FALSE)="Strength_R",-8*VLOOKUP($E17,TeamT[],13,FALSE),IF(VLOOKUP($AM17,AbilityT[],2,FALSE)="Passing_R",-8*VLOOKUP($E17,TeamT[],14,FALSE),IF(VLOOKUP($AM17,AbilityT[],2,FALSE)="Mutation_R",-8*VLOOKUP($E17,TeamT[],15,FALSE),"ERROR"))))))))))))+IF($AN17=0,0,IF(OR($AN17="+MA",$AN17="+ST",$AN17="+AG",$AN17="+PA",$AN17="+AV"),-32,IF(VLOOKUP($AN17,AbilityT[],2,FALSE)="General",IF(VLOOKUP($E17,TeamT[],11,FALSE)=1,-20*VLOOKUP($E17,TeamT[],11,FALSE),-13*VLOOKUP($E17,TeamT[],11,FALSE)),IF(VLOOKUP($AN17,AbilityT[],2,FALSE)="Agility",IF(VLOOKUP($E17,TeamT[],12,FALSE)=1,-20*VLOOKUP($E17,TeamT[],12,FALSE),-13*VLOOKUP($E17,TeamT[],12,FALSE)),IF(VLOOKUP($AN17,AbilityT[],2,FALSE)="Strength",IF(VLOOKUP($E17,TeamT[],13,FALSE)=1,-20*VLOOKUP($E17,TeamT[],13,FALSE),-13*VLOOKUP($E17,TeamT[],13,FALSE)),IF(VLOOKUP($AN17,AbilityT[],2,FALSE)="Passing",IF(VLOOKUP($E17,TeamT[],14,FALSE)=1,-20*VLOOKUP($E17,TeamT[],14,FALSE),-13*VLOOKUP($E17,TeamT[],14,FALSE)),IF(VLOOKUP($AN17,AbilityT[],2,FALSE)="Mutation",IF(VLOOKUP($E17,TeamT[],15,FALSE)=1,-20*VLOOKUP($E17,TeamT[],15,FALSE),-13*VLOOKUP($E17,TeamT[],15,FALSE)),IF(VLOOKUP($AN17,AbilityT[],2,FALSE)="General_R",-10*VLOOKUP($E17,TeamT[],11,FALSE),IF(VLOOKUP($AN17,AbilityT[],2,FALSE)="Agility_R",-10*VLOOKUP($E17,TeamT[],12,FALSE),IF(VLOOKUP($AN17,AbilityT[],2,FALSE)="Strength_R",-10*VLOOKUP($E17,TeamT[],13,FALSE),IF(VLOOKUP($AN17,AbilityT[],2,FALSE)="Passing_R",-10*VLOOKUP($E17,TeamT[],14,FALSE),IF(VLOOKUP($AN17,AbilityT[],2,FALSE)="Mutation_R",-10*VLOOKUP($E17,TeamT[],15,FALSE),"ERROR"))))))))))))+IF($AO17=0,0,IF(OR($AO17="+MA",$AO17="+ST",$AO17="+AG",$AO17="+PA",$AO17="+AV"),-50,IF(VLOOKUP($AO17,AbilityT[],2,FALSE)="General",IF(VLOOKUP($E17,TeamT[],11,FALSE)=1,-30*VLOOKUP($E17,TeamT[],11,FALSE),-20*VLOOKUP($E17,TeamT[],11,FALSE)),IF(VLOOKUP($AO17,AbilityT[],2,FALSE)="Agility",IF(VLOOKUP($E17,TeamT[],12,FALSE)=1,-30*VLOOKUP($E17,TeamT[],12,FALSE),-20*VLOOKUP($E17,TeamT[],12,FALSE)),IF(VLOOKUP($AO17,AbilityT[],2,FALSE)="Strength",IF(VLOOKUP($E17,TeamT[],13,FALSE)=1,-30*VLOOKUP($E17,TeamT[],13,FALSE),-20*VLOOKUP($E17,TeamT[],13,FALSE)),IF(VLOOKUP($AO17,AbilityT[],2,FALSE)="Passing",IF(VLOOKUP($E17,TeamT[],14,FALSE)=1,-30*VLOOKUP($E17,TeamT[],14,FALSE),-20*VLOOKUP($E17,TeamT[],14,FALSE)),IF(VLOOKUP($AO17,AbilityT[],2,FALSE)="Mutation",IF(VLOOKUP($E17,TeamT[],15,FALSE)=1,-30*VLOOKUP($E17,TeamT[],15,FALSE),-20*VLOOKUP($E17,TeamT[],15,FALSE)),IF(VLOOKUP($AO17,AbilityT[],2,FALSE)="General_R",-15*VLOOKUP($E17,TeamT[],11,FALSE),IF(VLOOKUP($AO17,AbilityT[],2,FALSE)="Agility_R",-15*VLOOKUP($E17,TeamT[],12,FALSE),IF(VLOOKUP($AO17,AbilityT[],2,FALSE)="Strength_R",-15*VLOOKUP($E17,TeamT[],13,FALSE),IF(VLOOKUP($AO17,AbilityT[],2,FALSE)="Passing_R",-15*VLOOKUP($E17,TeamT[],14,FALSE),IF(VLOOKUP($AO17,AbilityT[],2,FALSE)="Mutation_R",-15*VLOOKUP($E17,TeamT[],15,FALSE),"ERROR")))))))))))))+IF($AA17&lt;=5,-6*$AA17,-6*$AA17-4))</f>
        <v>0</v>
      </c>
      <c r="AA17" s="188"/>
      <c r="AB17" s="115">
        <f>IF($E17="",0,VLOOKUP($E17,TeamT[],3,FALSE)+IF($O$28="Tournament Setup",0,IF($AJ17="",0,IF($AJ17="+AV",10000,IF(OR($AJ17="+MA",$AJ17="+PA"),20000,IF($AJ17="+AG",40000,IF($AJ17="+ST",80000,20000*IF(VLOOKUP($AJ17,AbilityT[],2,FALSE)="General",VLOOKUP($E17,TeamT[],11,FALSE),IF(VLOOKUP($AJ17,AbilityT[],2,FALSE)="Agility",VLOOKUP($E17,TeamT[],12,FALSE),IF(VLOOKUP($AJ17,AbilityT[],2,FALSE)="Strength",VLOOKUP($E17,TeamT[],13,FALSE),IF(VLOOKUP($AJ17,AbilityT[],2,FALSE)="Passing",VLOOKUP($E17,TeamT[],14,FALSE),IF(VLOOKUP($AJ17,AbilityT[],2,FALSE)="Mutation",VLOOKUP($E17,TeamT[],15,FALSE),IF(VLOOKUP($AJ17,AbilityT[],2,FALSE)="General_R",0.5*VLOOKUP($E17,TeamT[],11,FALSE),IF(VLOOKUP($AJ17,AbilityT[],2,FALSE)="Agility_R",0.5*VLOOKUP($E17,TeamT[],12,FALSE),IF(VLOOKUP($AJ17,AbilityT[],2,FALSE)="Strength_R",0.5*VLOOKUP($E17,TeamT[],13,FALSE),IF(VLOOKUP($AJ17,AbilityT[],2,FALSE)="Passing_R",0.5*VLOOKUP($E17,TeamT[],14,FALSE),IF(VLOOKUP($AJ17,AbilityT[],2,FALSE)="Mutation_R",0.5*VLOOKUP($E17,TeamT[],15,FALSE),"ERROR")))))))))))))))+IF($AK17="",0,IF($AK17="+AV",10000,IF(OR($AK17="+MA",$AK17="+PA"),20000,IF($AK17="+AG",40000,IF($AK17="+ST",80000,20000*IF(VLOOKUP($AK17,AbilityT[],2,FALSE)="General",VLOOKUP($E17,TeamT[],11,FALSE),IF(VLOOKUP($AK17,AbilityT[],2,FALSE)="Agility",VLOOKUP($E17,TeamT[],12,FALSE),IF(VLOOKUP($AK17,AbilityT[],2,FALSE)="Strength",VLOOKUP($E17,TeamT[],13,FALSE),IF(VLOOKUP($AK17,AbilityT[],2,FALSE)="Passing",VLOOKUP($E17,TeamT[],14,FALSE),IF(VLOOKUP($AK17,AbilityT[],2,FALSE)="Mutation",VLOOKUP($E17,TeamT[],15,FALSE),IF(VLOOKUP($AK17,AbilityT[],2,FALSE)="General_R",0.5*VLOOKUP($E17,TeamT[],11,FALSE),IF(VLOOKUP($AK17,AbilityT[],2,FALSE)="Agility_R",0.5*VLOOKUP($E17,TeamT[],12,FALSE),IF(VLOOKUP($AK17,AbilityT[],2,FALSE)="Strength_R",0.5*VLOOKUP($E17,TeamT[],13,FALSE),IF(VLOOKUP($AK17,AbilityT[],2,FALSE)="Passing_R",0.5*VLOOKUP($E17,TeamT[],14,FALSE),IF(VLOOKUP($AK17,AbilityT[],2,FALSE)="Mutation_R",0.5*VLOOKUP($E17,TeamT[],15,FALSE),"ERROR")))))))))))))))+IF($AL17="",0,IF($AL17="+AV",10000,IF(OR($AL17="+MA",$AL17="+PA"),20000,IF($AL17="+AG",40000,IF($AL17="+ST",80000,20000*IF(VLOOKUP($AL17,AbilityT[],2,FALSE)="General",VLOOKUP($E17,TeamT[],11,FALSE),IF(VLOOKUP($AL17,AbilityT[],2,FALSE)="Agility",VLOOKUP($E17,TeamT[],12,FALSE),IF(VLOOKUP($AL17,AbilityT[],2,FALSE)="Strength",VLOOKUP($E17,TeamT[],13,FALSE),IF(VLOOKUP($AL17,AbilityT[],2,FALSE)="Passing",VLOOKUP($E17,TeamT[],14,FALSE),IF(VLOOKUP($AL17,AbilityT[],2,FALSE)="Mutation",VLOOKUP($E17,TeamT[],15,FALSE),IF(VLOOKUP($AL17,AbilityT[],2,FALSE)="General_R",0.5*VLOOKUP($E17,TeamT[],11,FALSE),IF(VLOOKUP($AL17,AbilityT[],2,FALSE)="Agility_R",0.5*VLOOKUP($E17,TeamT[],12,FALSE),IF(VLOOKUP($AL17,AbilityT[],2,FALSE)="Strength_R",0.5*VLOOKUP($E17,TeamT[],13,FALSE),IF(VLOOKUP($AL17,AbilityT[],2,FALSE)="Passing_R",0.5*VLOOKUP($E17,TeamT[],14,FALSE),IF(VLOOKUP($AL17,AbilityT[],2,FALSE)="Mutation_R",0.5*VLOOKUP($E17,TeamT[],15,FALSE),"ERROR")))))))))))))))+IF($AM17="",0,IF($AM17="+AV",10000,IF(OR($AM17="+MA",$AM17="+PA"),20000,IF($AM17="+AG",40000,IF($AM17="+ST",80000,20000*IF(VLOOKUP($AM17,AbilityT[],2,FALSE)="General",VLOOKUP($E17,TeamT[],11,FALSE),IF(VLOOKUP($AM17,AbilityT[],2,FALSE)="Agility",VLOOKUP($E17,TeamT[],12,FALSE),IF(VLOOKUP($AM17,AbilityT[],2,FALSE)="Strength",VLOOKUP($E17,TeamT[],13,FALSE),IF(VLOOKUP($AM17,AbilityT[],2,FALSE)="Passing",VLOOKUP($E17,TeamT[],14,FALSE),IF(VLOOKUP($AM17,AbilityT[],2,FALSE)="Mutation",VLOOKUP($E17,TeamT[],15,FALSE),IF(VLOOKUP($AM17,AbilityT[],2,FALSE)="General_R",0.5*VLOOKUP($E17,TeamT[],11,FALSE),IF(VLOOKUP($AM17,AbilityT[],2,FALSE)="Agility_R",0.5*VLOOKUP($E17,TeamT[],12,FALSE),IF(VLOOKUP($AM17,AbilityT[],2,FALSE)="Strength_R",0.5*VLOOKUP($E17,TeamT[],13,FALSE),IF(VLOOKUP($AM17,AbilityT[],2,FALSE)="Passing_R",0.5*VLOOKUP($E17,TeamT[],14,FALSE),IF(VLOOKUP($AM17,AbilityT[],2,FALSE)="Mutation_R",0.5*VLOOKUP($E17,TeamT[],15,FALSE),"ERROR")))))))))))))))+IF($AN17="",0,IF($AN17="+AV",10000,IF(OR($AN17="+MA",$AN17="+PA"),20000,IF($AN17="+AG",40000,IF($AN17="+ST",80000,20000*IF(VLOOKUP($AN17,AbilityT[],2,FALSE)="General",VLOOKUP($E17,TeamT[],11,FALSE),IF(VLOOKUP($AN17,AbilityT[],2,FALSE)="Agility",VLOOKUP($E17,TeamT[],12,FALSE),IF(VLOOKUP($AN17,AbilityT[],2,FALSE)="Strength",VLOOKUP($E17,TeamT[],13,FALSE),IF(VLOOKUP($AN17,AbilityT[],2,FALSE)="Passing",VLOOKUP($E17,TeamT[],14,FALSE),IF(VLOOKUP($AN17,AbilityT[],2,FALSE)="Mutation",VLOOKUP($E17,TeamT[],15,FALSE),IF(VLOOKUP($AN17,AbilityT[],2,FALSE)="General_R",0.5*VLOOKUP($E17,TeamT[],11,FALSE),IF(VLOOKUP($AN17,AbilityT[],2,FALSE)="Agility_R",0.5*VLOOKUP($E17,TeamT[],12,FALSE),IF(VLOOKUP($AN17,AbilityT[],2,FALSE)="Strength_R",0.5*VLOOKUP($E17,TeamT[],13,FALSE),IF(VLOOKUP($AN17,AbilityT[],2,FALSE)="Passing_R",0.5*VLOOKUP($E17,TeamT[],14,FALSE),IF(VLOOKUP($AN17,AbilityT[],2,FALSE)="Mutation_R",0.5*VLOOKUP($E17,TeamT[],15,FALSE),"ERROR")))))))))))))))+IF($AO17="",0,IF($AO17="+AV",10000,IF(OR($AO17="+MA",$AO17="+PA"),20000,IF($AO17="+AG",40000,IF($AO17="+ST",80000,20000*IF(VLOOKUP($AO17,AbilityT[],2,FALSE)="General",VLOOKUP($E17,TeamT[],11,FALSE),IF(VLOOKUP($AO17,AbilityT[],2,FALSE)="Agility",VLOOKUP($E17,TeamT[],12,FALSE),IF(VLOOKUP($AO17,AbilityT[],2,FALSE)="Strength",VLOOKUP($E17,TeamT[],13,FALSE),IF(VLOOKUP($AO17,AbilityT[],2,FALSE)="Passing",VLOOKUP($E17,TeamT[],14,FALSE),IF(VLOOKUP($AO17,AbilityT[],2,FALSE)="Mutation",VLOOKUP($E17,TeamT[],15,FALSE),IF(VLOOKUP($AO17,AbilityT[],2,FALSE)="General_R",0.5*VLOOKUP($E17,TeamT[],11,FALSE),IF(VLOOKUP($AO17,AbilityT[],2,FALSE)="Agility_R",0.5*VLOOKUP($E17,TeamT[],12,FALSE),IF(VLOOKUP($AO17,AbilityT[],2,FALSE)="Strength_R",0.5*VLOOKUP($E17,TeamT[],13,FALSE),IF(VLOOKUP($AO17,AbilityT[],2,FALSE)="Passing_R",0.5*VLOOKUP($E17,TeamT[],14,FALSE),IF(VLOOKUP($AO17,AbilityT[],2,FALSE)="Mutation_R",0.5*VLOOKUP($E17,TeamT[],15,FALSE),"ERROR"))))))))))))))))+$AC17)</f>
        <v>0</v>
      </c>
      <c r="AC17" s="190"/>
      <c r="AD17" s="193"/>
      <c r="AE17" s="119"/>
      <c r="AF17" s="120"/>
      <c r="AG17" s="120"/>
      <c r="AH17" s="120"/>
      <c r="AI17" s="121"/>
      <c r="AJ17" s="118"/>
      <c r="AK17" s="118"/>
      <c r="AL17" s="118"/>
      <c r="AM17" s="118"/>
      <c r="AN17" s="118"/>
      <c r="AO17" s="118"/>
      <c r="AP17" s="199"/>
      <c r="BC17" s="1" t="e">
        <f>VLOOKUP($E17,TeamT[],5,FALSE)</f>
        <v>#N/A</v>
      </c>
      <c r="BD17" s="1" t="e">
        <f>VLOOKUP($E17,TeamT[],6,FALSE)</f>
        <v>#N/A</v>
      </c>
      <c r="BE17" s="1" t="e">
        <f>VLOOKUP($E17,TeamT[],19,FALSE)</f>
        <v>#N/A</v>
      </c>
      <c r="BF17" s="1" t="e">
        <f>VLOOKUP($E17,TeamT[],20,FALSE)</f>
        <v>#N/A</v>
      </c>
      <c r="BG17" s="1" t="e">
        <f>VLOOKUP($E17,TeamT[],21,FALSE)</f>
        <v>#N/A</v>
      </c>
    </row>
    <row r="18" spans="2:59" ht="34.9" customHeight="1" thickBot="1" x14ac:dyDescent="0.2">
      <c r="B18" s="180">
        <v>14</v>
      </c>
      <c r="C18" s="110"/>
      <c r="D18" s="70">
        <f t="shared" si="1"/>
        <v>16</v>
      </c>
      <c r="E18" s="264" t="s">
        <v>746</v>
      </c>
      <c r="F18" s="264"/>
      <c r="G18" s="264"/>
      <c r="H18" s="72" t="str">
        <f>IF($E18&lt;&gt;"",VLOOKUP(E18,TeamT[],4,FALSE),"")</f>
        <v/>
      </c>
      <c r="I18" s="229" t="str">
        <f>IF($E18="","",IF(VLOOKUP($E18,TeamT[],5,FALSE)+COUNTIF($AJ18:$AO18,"=+MA")+$AE18&gt;9,9,IF(VLOOKUP($E18,TeamT[],5,FALSE)+COUNTIF($AJ18:$AO18,"=+MA")+$AE18&lt;1,1,VLOOKUP($E18,TeamT[],5,FALSE)+COUNTIF($AJ18:$AO18,"=+MA")+$AE18)))</f>
        <v/>
      </c>
      <c r="J18" s="230" t="str">
        <f>IF($E18="","",IF(VLOOKUP($E18,TeamT[],6,FALSE)+COUNTIF($AJ18:$AO18,"=+ST")+$AF18&gt;8,8,IF(VLOOKUP($E18,TeamT[],6,FALSE)+COUNTIF($AJ18:$AO18,"=+ST")+$AF18&lt;1,1,VLOOKUP($E18,TeamT[],6,FALSE)+COUNTIF($AJ18:$AO18,"=+ST")+$AF18)))</f>
        <v/>
      </c>
      <c r="K18" s="231" t="str">
        <f>IF($E18="","",IF(VLOOKUP($E18,TeamT[],19,FALSE)-COUNTIF($AJ18:$AO18,"=+AG")-$AG18&gt;6,6,IF(VLOOKUP($E18,TeamT[],19,FALSE)-COUNTIF($AJ18:$AO18,"=+AG")-$AG18&lt;1,1,VLOOKUP($E18,TeamT[],19,FALSE)-COUNTIF($AJ18:$AO18,"=+AG")-$AG18)))</f>
        <v/>
      </c>
      <c r="L18" s="231" t="str">
        <f>IF($E18="","",IF(VLOOKUP($E18,TeamT[],20,FALSE)="-","-",IF(VLOOKUP($E18,TeamT[],20,FALSE)-COUNTIF($AJ18:$AO18,"=+PA")-$AH18&gt;6,6,IF(VLOOKUP($E18,TeamT[],20,FALSE)-COUNTIF($AJ18:$AO18,"=+PA")-$AH18&lt;1,1,VLOOKUP($E18,TeamT[],20,FALSE)-COUNTIF($AJ18:$AO18,"=+PA")-$AH18))))</f>
        <v/>
      </c>
      <c r="M18" s="231" t="str">
        <f>IF($E18="","",IF(VLOOKUP($E18,TeamT[],21,FALSE)+COUNTIF($AJ18:$AO18,"=+AV")+$AI18&gt;11,11,IF(VLOOKUP($E18,TeamT[],21,FALSE)+COUNTIF($AJ18:$AO18,"=+AV")+$AI18&lt;3,3,VLOOKUP($E18,TeamT[],21,FALSE)+COUNTIF($AJ18:$AO18,"=+AV")+$AI18)))</f>
        <v/>
      </c>
      <c r="N18" s="225" t="str">
        <f>IF($E18="","",IF(COUNTIF($E$5:$E$20,$E18)&gt;VLOOKUP($E18,TeamT[],4,FALSE),"ERROR! Too many Player wit same role",(IF(Reces!$BR17&lt;&gt;0,"ERROR! Too many Big Guys!",(IF(Reces!$BT17&lt;&gt;0,"ERROR! Too many Star Players!",VLOOKUP($E18,TeamT[],10,FALSE)))))))</f>
        <v/>
      </c>
      <c r="O18" s="106" t="str">
        <f>CONCATENATE($AJ18,IF($AK18&lt;&gt;"",", ",""),$AK18,IF($AL18&lt;&gt;"",", ",""),$AL18,IF($AM18&lt;&gt;"",", ",""),AM18,IF($AN18&lt;&gt;"",", ",""),AN18,IF($AO18&lt;&gt;"",", ",""),AO18)</f>
        <v/>
      </c>
      <c r="P18" s="254"/>
      <c r="Q18" s="254"/>
      <c r="R18" s="183"/>
      <c r="S18" s="183"/>
      <c r="T18" s="183"/>
      <c r="U18" s="183"/>
      <c r="V18" s="183"/>
      <c r="W18" s="183"/>
      <c r="X18" s="184"/>
      <c r="Y18" s="117">
        <f t="shared" si="0"/>
        <v>0</v>
      </c>
      <c r="Z18" s="172">
        <f>IF(LEFT($E18,1)="*","Star",$Y18+IF($AJ18=0,0,IF(OR($AJ18="+MA",$AJ18="+ST",$AJ18="+AG",$AJ18="+PA",$AJ18="+AV"),-18,IF(VLOOKUP($AJ18,AbilityT[],2,FALSE)="General",-6*VLOOKUP($E18,TeamT[],11,FALSE),IF(VLOOKUP($AJ18,AbilityT[],2,FALSE)="Agility",-6*VLOOKUP($E18,TeamT[],12,FALSE),IF(VLOOKUP($AJ18,AbilityT[],2,FALSE)="Strength",-6*VLOOKUP($E18,TeamT[],13,FALSE),IF(VLOOKUP($AJ18,AbilityT[],2,FALSE)="Passing",-6*VLOOKUP($E18,TeamT[],14,FALSE),IF(VLOOKUP($AJ18,AbilityT[],2,FALSE)="Mutation",-6*VLOOKUP($E18,TeamT[],15,FALSE),IF(VLOOKUP($AJ18,AbilityT[],2,FALSE)="General_R",-3*VLOOKUP($E18,TeamT[],11,FALSE),IF(VLOOKUP($AJ18,AbilityT[],2,FALSE)="Agility_R",-3*VLOOKUP($E18,TeamT[],12,FALSE),IF(VLOOKUP($AJ18,AbilityT[],2,FALSE)="Strength_R",-3*VLOOKUP($E18,TeamT[],13,FALSE),IF(VLOOKUP($AJ18,AbilityT[],2,FALSE)="Passing_R",-3*VLOOKUP($E18,TeamT[],14,FALSE),IF(VLOOKUP($AJ18,AbilityT[],2,FALSE)="Mutation_R",-3*VLOOKUP($E18,TeamT[],15,FALSE),"ERROR")))))))))))+IF($AK18=0,0,IF(OR($AK18="+MA",$AK18="+ST",$AK18="+AG",$AK18="+PA",$AK18="+AV"),-20,IF(VLOOKUP($AK18,AbilityT[],2,FALSE)="General",IF(VLOOKUP($E18,TeamT[],11,FALSE)=1,-8*VLOOKUP($E18,TeamT[],11,FALSE),-7*VLOOKUP($E18,TeamT[],11,FALSE)),IF(VLOOKUP($AK18,AbilityT[],2,FALSE)="Agility",IF(VLOOKUP($E18,TeamT[],12,FALSE)=1,-8*VLOOKUP($E18,TeamT[],12,FALSE),-7*VLOOKUP($E18,TeamT[],12,FALSE)),IF(VLOOKUP($AK18,AbilityT[],2,FALSE)="Strength",IF(VLOOKUP($E18,TeamT[],13,FALSE)=1,-8*VLOOKUP($E18,TeamT[],13,FALSE),-7*VLOOKUP($E18,TeamT[],13,FALSE)),IF(VLOOKUP($AK18,AbilityT[],2,FALSE)="Passing",IF(VLOOKUP($E18,TeamT[],14,FALSE)=1,-8*VLOOKUP($E18,TeamT[],14,FALSE),-7*VLOOKUP($E18,TeamT[],14,FALSE)),IF(VLOOKUP($AK18,AbilityT[],2,FALSE)="Mutation",IF(VLOOKUP($E18,TeamT[],15,FALSE)=1,-8*VLOOKUP($E18,TeamT[],15,FALSE),-7*VLOOKUP($E18,TeamT[],15,FALSE)),IF(VLOOKUP($AK18,AbilityT[],2,FALSE)="General_R",-4*VLOOKUP($E18,TeamT[],11,FALSE),IF(VLOOKUP($AK18,AbilityT[],2,FALSE)="Agility_R",-4*VLOOKUP($E18,TeamT[],12,FALSE),IF(VLOOKUP($AK18,AbilityT[],2,FALSE)="Strength_R",-4*VLOOKUP($E18,TeamT[],13,FALSE),IF(VLOOKUP($AK18,AbilityT[],2,FALSE)="Passing_R",-4*VLOOKUP($E18,TeamT[],14,FALSE),IF(VLOOKUP($AK18,AbilityT[],2,FALSE)="Mutation_R",-4*VLOOKUP($E18,TeamT[],15,FALSE),"ERROR"))))))))))))+IF($AL18=0,0,IF(OR($AL18="+MA",$AL18="+ST",$AL18="+AG",$AL18="+PA",$AL18="+AV"),-24,IF(VLOOKUP($AL18,AbilityT[],2,FALSE)="General",IF(VLOOKUP($E18,TeamT[],11,FALSE)=1,-12*VLOOKUP($E18,TeamT[],11,FALSE),-9*VLOOKUP($E18,TeamT[],11,FALSE)),IF(VLOOKUP($AL18,AbilityT[],2,FALSE)="Agility",IF(VLOOKUP($E18,TeamT[],12,FALSE)=1,-12*VLOOKUP($E18,TeamT[],12,FALSE),-9*VLOOKUP($E18,TeamT[],12,FALSE)),IF(VLOOKUP($AL18,AbilityT[],2,FALSE)="Strength",IF(VLOOKUP($E18,TeamT[],13,FALSE)=1,-12*VLOOKUP($E18,TeamT[],13,FALSE),-9*VLOOKUP($E18,TeamT[],13,FALSE)),IF(VLOOKUP($AL18,AbilityT[],2,FALSE)="Passing",IF(VLOOKUP($E18,TeamT[],14,FALSE)=1,-12*VLOOKUP($E18,TeamT[],14,FALSE),-9*VLOOKUP($E18,TeamT[],14,FALSE)),IF(VLOOKUP($AL18,AbilityT[],2,FALSE)="Mutation",IF(VLOOKUP($E18,TeamT[],15,FALSE)=1,-12*VLOOKUP($E18,TeamT[],15,FALSE),-9*VLOOKUP($E18,TeamT[],15,FALSE)),IF(VLOOKUP($AL18,AbilityT[],2,FALSE)="General_R",-6*VLOOKUP($E18,TeamT[],11,FALSE),IF(VLOOKUP($AL18,AbilityT[],2,FALSE)="Agility_R",-6*VLOOKUP($E18,TeamT[],12,FALSE),IF(VLOOKUP($AL18,AbilityT[],2,FALSE)="Strength_R",-6*VLOOKUP($E18,TeamT[],13,FALSE),IF(VLOOKUP($AL18,AbilityT[],2,FALSE)="Passing_R",-6*VLOOKUP($E18,TeamT[],14,FALSE),IF(VLOOKUP($AL18,AbilityT[],2,FALSE)="Mutation_R",-6*VLOOKUP($E18,TeamT[],15,FALSE),"ERROR"))))))))))))+IF($AM18=0,0,IF(OR($AM18="+MA",$AM18="+ST",$AM18="+AG",$AM18="+PA",$AM18="+AV"),-28,IF(VLOOKUP($AM18,AbilityT[],2,FALSE)="General",IF(VLOOKUP($E18,TeamT[],11,FALSE)=1,-16*VLOOKUP($E18,TeamT[],11,FALSE),-11*VLOOKUP($E18,TeamT[],11,FALSE)),IF(VLOOKUP($AM18,AbilityT[],2,FALSE)="Agility",IF(VLOOKUP($E18,TeamT[],12,FALSE)=1,-16*VLOOKUP($E18,TeamT[],12,FALSE),-11*VLOOKUP($E18,TeamT[],12,FALSE)),IF(VLOOKUP($AM18,AbilityT[],2,FALSE)="Strength",IF(VLOOKUP($E18,TeamT[],13,FALSE)=1,-16*VLOOKUP($E18,TeamT[],13,FALSE),-11*VLOOKUP($E18,TeamT[],13,FALSE)),IF(VLOOKUP($AM18,AbilityT[],2,FALSE)="Passing",IF(VLOOKUP($E18,TeamT[],14,FALSE)=1,-16*VLOOKUP($E18,TeamT[],14,FALSE),-11*VLOOKUP($E18,TeamT[],14,FALSE)),IF(VLOOKUP($AM18,AbilityT[],2,FALSE)="Mutation",IF(VLOOKUP($E18,TeamT[],15,FALSE)=1,-16*VLOOKUP($E18,TeamT[],15,FALSE),-11*VLOOKUP($E18,TeamT[],15,FALSE)),IF(VLOOKUP($AM18,AbilityT[],2,FALSE)="General_R",-8*VLOOKUP($E18,TeamT[],11,FALSE),IF(VLOOKUP($AM18,AbilityT[],2,FALSE)="Agility_R",-8*VLOOKUP($E18,TeamT[],12,FALSE),IF(VLOOKUP($AM18,AbilityT[],2,FALSE)="Strength_R",-8*VLOOKUP($E18,TeamT[],13,FALSE),IF(VLOOKUP($AM18,AbilityT[],2,FALSE)="Passing_R",-8*VLOOKUP($E18,TeamT[],14,FALSE),IF(VLOOKUP($AM18,AbilityT[],2,FALSE)="Mutation_R",-8*VLOOKUP($E18,TeamT[],15,FALSE),"ERROR"))))))))))))+IF($AN18=0,0,IF(OR($AN18="+MA",$AN18="+ST",$AN18="+AG",$AN18="+PA",$AN18="+AV"),-32,IF(VLOOKUP($AN18,AbilityT[],2,FALSE)="General",IF(VLOOKUP($E18,TeamT[],11,FALSE)=1,-20*VLOOKUP($E18,TeamT[],11,FALSE),-13*VLOOKUP($E18,TeamT[],11,FALSE)),IF(VLOOKUP($AN18,AbilityT[],2,FALSE)="Agility",IF(VLOOKUP($E18,TeamT[],12,FALSE)=1,-20*VLOOKUP($E18,TeamT[],12,FALSE),-13*VLOOKUP($E18,TeamT[],12,FALSE)),IF(VLOOKUP($AN18,AbilityT[],2,FALSE)="Strength",IF(VLOOKUP($E18,TeamT[],13,FALSE)=1,-20*VLOOKUP($E18,TeamT[],13,FALSE),-13*VLOOKUP($E18,TeamT[],13,FALSE)),IF(VLOOKUP($AN18,AbilityT[],2,FALSE)="Passing",IF(VLOOKUP($E18,TeamT[],14,FALSE)=1,-20*VLOOKUP($E18,TeamT[],14,FALSE),-13*VLOOKUP($E18,TeamT[],14,FALSE)),IF(VLOOKUP($AN18,AbilityT[],2,FALSE)="Mutation",IF(VLOOKUP($E18,TeamT[],15,FALSE)=1,-20*VLOOKUP($E18,TeamT[],15,FALSE),-13*VLOOKUP($E18,TeamT[],15,FALSE)),IF(VLOOKUP($AN18,AbilityT[],2,FALSE)="General_R",-10*VLOOKUP($E18,TeamT[],11,FALSE),IF(VLOOKUP($AN18,AbilityT[],2,FALSE)="Agility_R",-10*VLOOKUP($E18,TeamT[],12,FALSE),IF(VLOOKUP($AN18,AbilityT[],2,FALSE)="Strength_R",-10*VLOOKUP($E18,TeamT[],13,FALSE),IF(VLOOKUP($AN18,AbilityT[],2,FALSE)="Passing_R",-10*VLOOKUP($E18,TeamT[],14,FALSE),IF(VLOOKUP($AN18,AbilityT[],2,FALSE)="Mutation_R",-10*VLOOKUP($E18,TeamT[],15,FALSE),"ERROR"))))))))))))+IF($AO18=0,0,IF(OR($AO18="+MA",$AO18="+ST",$AO18="+AG",$AO18="+PA",$AO18="+AV"),-50,IF(VLOOKUP($AO18,AbilityT[],2,FALSE)="General",IF(VLOOKUP($E18,TeamT[],11,FALSE)=1,-30*VLOOKUP($E18,TeamT[],11,FALSE),-20*VLOOKUP($E18,TeamT[],11,FALSE)),IF(VLOOKUP($AO18,AbilityT[],2,FALSE)="Agility",IF(VLOOKUP($E18,TeamT[],12,FALSE)=1,-30*VLOOKUP($E18,TeamT[],12,FALSE),-20*VLOOKUP($E18,TeamT[],12,FALSE)),IF(VLOOKUP($AO18,AbilityT[],2,FALSE)="Strength",IF(VLOOKUP($E18,TeamT[],13,FALSE)=1,-30*VLOOKUP($E18,TeamT[],13,FALSE),-20*VLOOKUP($E18,TeamT[],13,FALSE)),IF(VLOOKUP($AO18,AbilityT[],2,FALSE)="Passing",IF(VLOOKUP($E18,TeamT[],14,FALSE)=1,-30*VLOOKUP($E18,TeamT[],14,FALSE),-20*VLOOKUP($E18,TeamT[],14,FALSE)),IF(VLOOKUP($AO18,AbilityT[],2,FALSE)="Mutation",IF(VLOOKUP($E18,TeamT[],15,FALSE)=1,-30*VLOOKUP($E18,TeamT[],15,FALSE),-20*VLOOKUP($E18,TeamT[],15,FALSE)),IF(VLOOKUP($AO18,AbilityT[],2,FALSE)="General_R",-15*VLOOKUP($E18,TeamT[],11,FALSE),IF(VLOOKUP($AO18,AbilityT[],2,FALSE)="Agility_R",-15*VLOOKUP($E18,TeamT[],12,FALSE),IF(VLOOKUP($AO18,AbilityT[],2,FALSE)="Strength_R",-15*VLOOKUP($E18,TeamT[],13,FALSE),IF(VLOOKUP($AO18,AbilityT[],2,FALSE)="Passing_R",-15*VLOOKUP($E18,TeamT[],14,FALSE),IF(VLOOKUP($AO18,AbilityT[],2,FALSE)="Mutation_R",-15*VLOOKUP($E18,TeamT[],15,FALSE),"ERROR")))))))))))))+IF($AA18&lt;=5,-6*$AA18,-6*$AA18-4))</f>
        <v>0</v>
      </c>
      <c r="AA18" s="188"/>
      <c r="AB18" s="115">
        <f>IF($E18="",0,VLOOKUP($E18,TeamT[],3,FALSE)+IF($O$28="Tournament Setup",0,IF($AJ18="",0,IF($AJ18="+AV",10000,IF(OR($AJ18="+MA",$AJ18="+PA"),20000,IF($AJ18="+AG",40000,IF($AJ18="+ST",80000,20000*IF(VLOOKUP($AJ18,AbilityT[],2,FALSE)="General",VLOOKUP($E18,TeamT[],11,FALSE),IF(VLOOKUP($AJ18,AbilityT[],2,FALSE)="Agility",VLOOKUP($E18,TeamT[],12,FALSE),IF(VLOOKUP($AJ18,AbilityT[],2,FALSE)="Strength",VLOOKUP($E18,TeamT[],13,FALSE),IF(VLOOKUP($AJ18,AbilityT[],2,FALSE)="Passing",VLOOKUP($E18,TeamT[],14,FALSE),IF(VLOOKUP($AJ18,AbilityT[],2,FALSE)="Mutation",VLOOKUP($E18,TeamT[],15,FALSE),IF(VLOOKUP($AJ18,AbilityT[],2,FALSE)="General_R",0.5*VLOOKUP($E18,TeamT[],11,FALSE),IF(VLOOKUP($AJ18,AbilityT[],2,FALSE)="Agility_R",0.5*VLOOKUP($E18,TeamT[],12,FALSE),IF(VLOOKUP($AJ18,AbilityT[],2,FALSE)="Strength_R",0.5*VLOOKUP($E18,TeamT[],13,FALSE),IF(VLOOKUP($AJ18,AbilityT[],2,FALSE)="Passing_R",0.5*VLOOKUP($E18,TeamT[],14,FALSE),IF(VLOOKUP($AJ18,AbilityT[],2,FALSE)="Mutation_R",0.5*VLOOKUP($E18,TeamT[],15,FALSE),"ERROR")))))))))))))))+IF($AK18="",0,IF($AK18="+AV",10000,IF(OR($AK18="+MA",$AK18="+PA"),20000,IF($AK18="+AG",40000,IF($AK18="+ST",80000,20000*IF(VLOOKUP($AK18,AbilityT[],2,FALSE)="General",VLOOKUP($E18,TeamT[],11,FALSE),IF(VLOOKUP($AK18,AbilityT[],2,FALSE)="Agility",VLOOKUP($E18,TeamT[],12,FALSE),IF(VLOOKUP($AK18,AbilityT[],2,FALSE)="Strength",VLOOKUP($E18,TeamT[],13,FALSE),IF(VLOOKUP($AK18,AbilityT[],2,FALSE)="Passing",VLOOKUP($E18,TeamT[],14,FALSE),IF(VLOOKUP($AK18,AbilityT[],2,FALSE)="Mutation",VLOOKUP($E18,TeamT[],15,FALSE),IF(VLOOKUP($AK18,AbilityT[],2,FALSE)="General_R",0.5*VLOOKUP($E18,TeamT[],11,FALSE),IF(VLOOKUP($AK18,AbilityT[],2,FALSE)="Agility_R",0.5*VLOOKUP($E18,TeamT[],12,FALSE),IF(VLOOKUP($AK18,AbilityT[],2,FALSE)="Strength_R",0.5*VLOOKUP($E18,TeamT[],13,FALSE),IF(VLOOKUP($AK18,AbilityT[],2,FALSE)="Passing_R",0.5*VLOOKUP($E18,TeamT[],14,FALSE),IF(VLOOKUP($AK18,AbilityT[],2,FALSE)="Mutation_R",0.5*VLOOKUP($E18,TeamT[],15,FALSE),"ERROR")))))))))))))))+IF($AL18="",0,IF($AL18="+AV",10000,IF(OR($AL18="+MA",$AL18="+PA"),20000,IF($AL18="+AG",40000,IF($AL18="+ST",80000,20000*IF(VLOOKUP($AL18,AbilityT[],2,FALSE)="General",VLOOKUP($E18,TeamT[],11,FALSE),IF(VLOOKUP($AL18,AbilityT[],2,FALSE)="Agility",VLOOKUP($E18,TeamT[],12,FALSE),IF(VLOOKUP($AL18,AbilityT[],2,FALSE)="Strength",VLOOKUP($E18,TeamT[],13,FALSE),IF(VLOOKUP($AL18,AbilityT[],2,FALSE)="Passing",VLOOKUP($E18,TeamT[],14,FALSE),IF(VLOOKUP($AL18,AbilityT[],2,FALSE)="Mutation",VLOOKUP($E18,TeamT[],15,FALSE),IF(VLOOKUP($AL18,AbilityT[],2,FALSE)="General_R",0.5*VLOOKUP($E18,TeamT[],11,FALSE),IF(VLOOKUP($AL18,AbilityT[],2,FALSE)="Agility_R",0.5*VLOOKUP($E18,TeamT[],12,FALSE),IF(VLOOKUP($AL18,AbilityT[],2,FALSE)="Strength_R",0.5*VLOOKUP($E18,TeamT[],13,FALSE),IF(VLOOKUP($AL18,AbilityT[],2,FALSE)="Passing_R",0.5*VLOOKUP($E18,TeamT[],14,FALSE),IF(VLOOKUP($AL18,AbilityT[],2,FALSE)="Mutation_R",0.5*VLOOKUP($E18,TeamT[],15,FALSE),"ERROR")))))))))))))))+IF($AM18="",0,IF($AM18="+AV",10000,IF(OR($AM18="+MA",$AM18="+PA"),20000,IF($AM18="+AG",40000,IF($AM18="+ST",80000,20000*IF(VLOOKUP($AM18,AbilityT[],2,FALSE)="General",VLOOKUP($E18,TeamT[],11,FALSE),IF(VLOOKUP($AM18,AbilityT[],2,FALSE)="Agility",VLOOKUP($E18,TeamT[],12,FALSE),IF(VLOOKUP($AM18,AbilityT[],2,FALSE)="Strength",VLOOKUP($E18,TeamT[],13,FALSE),IF(VLOOKUP($AM18,AbilityT[],2,FALSE)="Passing",VLOOKUP($E18,TeamT[],14,FALSE),IF(VLOOKUP($AM18,AbilityT[],2,FALSE)="Mutation",VLOOKUP($E18,TeamT[],15,FALSE),IF(VLOOKUP($AM18,AbilityT[],2,FALSE)="General_R",0.5*VLOOKUP($E18,TeamT[],11,FALSE),IF(VLOOKUP($AM18,AbilityT[],2,FALSE)="Agility_R",0.5*VLOOKUP($E18,TeamT[],12,FALSE),IF(VLOOKUP($AM18,AbilityT[],2,FALSE)="Strength_R",0.5*VLOOKUP($E18,TeamT[],13,FALSE),IF(VLOOKUP($AM18,AbilityT[],2,FALSE)="Passing_R",0.5*VLOOKUP($E18,TeamT[],14,FALSE),IF(VLOOKUP($AM18,AbilityT[],2,FALSE)="Mutation_R",0.5*VLOOKUP($E18,TeamT[],15,FALSE),"ERROR")))))))))))))))+IF($AN18="",0,IF($AN18="+AV",10000,IF(OR($AN18="+MA",$AN18="+PA"),20000,IF($AN18="+AG",40000,IF($AN18="+ST",80000,20000*IF(VLOOKUP($AN18,AbilityT[],2,FALSE)="General",VLOOKUP($E18,TeamT[],11,FALSE),IF(VLOOKUP($AN18,AbilityT[],2,FALSE)="Agility",VLOOKUP($E18,TeamT[],12,FALSE),IF(VLOOKUP($AN18,AbilityT[],2,FALSE)="Strength",VLOOKUP($E18,TeamT[],13,FALSE),IF(VLOOKUP($AN18,AbilityT[],2,FALSE)="Passing",VLOOKUP($E18,TeamT[],14,FALSE),IF(VLOOKUP($AN18,AbilityT[],2,FALSE)="Mutation",VLOOKUP($E18,TeamT[],15,FALSE),IF(VLOOKUP($AN18,AbilityT[],2,FALSE)="General_R",0.5*VLOOKUP($E18,TeamT[],11,FALSE),IF(VLOOKUP($AN18,AbilityT[],2,FALSE)="Agility_R",0.5*VLOOKUP($E18,TeamT[],12,FALSE),IF(VLOOKUP($AN18,AbilityT[],2,FALSE)="Strength_R",0.5*VLOOKUP($E18,TeamT[],13,FALSE),IF(VLOOKUP($AN18,AbilityT[],2,FALSE)="Passing_R",0.5*VLOOKUP($E18,TeamT[],14,FALSE),IF(VLOOKUP($AN18,AbilityT[],2,FALSE)="Mutation_R",0.5*VLOOKUP($E18,TeamT[],15,FALSE),"ERROR")))))))))))))))+IF($AO18="",0,IF($AO18="+AV",10000,IF(OR($AO18="+MA",$AO18="+PA"),20000,IF($AO18="+AG",40000,IF($AO18="+ST",80000,20000*IF(VLOOKUP($AO18,AbilityT[],2,FALSE)="General",VLOOKUP($E18,TeamT[],11,FALSE),IF(VLOOKUP($AO18,AbilityT[],2,FALSE)="Agility",VLOOKUP($E18,TeamT[],12,FALSE),IF(VLOOKUP($AO18,AbilityT[],2,FALSE)="Strength",VLOOKUP($E18,TeamT[],13,FALSE),IF(VLOOKUP($AO18,AbilityT[],2,FALSE)="Passing",VLOOKUP($E18,TeamT[],14,FALSE),IF(VLOOKUP($AO18,AbilityT[],2,FALSE)="Mutation",VLOOKUP($E18,TeamT[],15,FALSE),IF(VLOOKUP($AO18,AbilityT[],2,FALSE)="General_R",0.5*VLOOKUP($E18,TeamT[],11,FALSE),IF(VLOOKUP($AO18,AbilityT[],2,FALSE)="Agility_R",0.5*VLOOKUP($E18,TeamT[],12,FALSE),IF(VLOOKUP($AO18,AbilityT[],2,FALSE)="Strength_R",0.5*VLOOKUP($E18,TeamT[],13,FALSE),IF(VLOOKUP($AO18,AbilityT[],2,FALSE)="Passing_R",0.5*VLOOKUP($E18,TeamT[],14,FALSE),IF(VLOOKUP($AO18,AbilityT[],2,FALSE)="Mutation_R",0.5*VLOOKUP($E18,TeamT[],15,FALSE),"ERROR"))))))))))))))))+$AC18)</f>
        <v>0</v>
      </c>
      <c r="AC18" s="190"/>
      <c r="AD18" s="193"/>
      <c r="AE18" s="119"/>
      <c r="AF18" s="120"/>
      <c r="AG18" s="120"/>
      <c r="AH18" s="120"/>
      <c r="AI18" s="121"/>
      <c r="AJ18" s="118"/>
      <c r="AK18" s="118"/>
      <c r="AL18" s="118"/>
      <c r="AM18" s="118"/>
      <c r="AN18" s="118"/>
      <c r="AO18" s="118"/>
      <c r="AP18" s="199"/>
      <c r="BC18" s="1" t="e">
        <f>VLOOKUP($E18,TeamT[],5,FALSE)</f>
        <v>#N/A</v>
      </c>
      <c r="BD18" s="1" t="e">
        <f>VLOOKUP($E18,TeamT[],6,FALSE)</f>
        <v>#N/A</v>
      </c>
      <c r="BE18" s="1" t="e">
        <f>VLOOKUP($E18,TeamT[],19,FALSE)</f>
        <v>#N/A</v>
      </c>
      <c r="BF18" s="1" t="e">
        <f>VLOOKUP($E18,TeamT[],20,FALSE)</f>
        <v>#N/A</v>
      </c>
      <c r="BG18" s="1" t="e">
        <f>VLOOKUP($E18,TeamT[],21,FALSE)</f>
        <v>#N/A</v>
      </c>
    </row>
    <row r="19" spans="2:59" ht="34.9" customHeight="1" thickBot="1" x14ac:dyDescent="0.2">
      <c r="B19" s="180">
        <v>15</v>
      </c>
      <c r="C19" s="110"/>
      <c r="D19" s="70">
        <f t="shared" si="1"/>
        <v>16</v>
      </c>
      <c r="E19" s="264" t="s">
        <v>746</v>
      </c>
      <c r="F19" s="264"/>
      <c r="G19" s="264"/>
      <c r="H19" s="72" t="str">
        <f>IF($E19&lt;&gt;"",VLOOKUP(E19,TeamT[],4,FALSE),"")</f>
        <v/>
      </c>
      <c r="I19" s="229" t="str">
        <f>IF($E19="","",IF(VLOOKUP($E19,TeamT[],5,FALSE)+COUNTIF($AJ19:$AO19,"=+MA")+$AE19&gt;9,9,IF(VLOOKUP($E19,TeamT[],5,FALSE)+COUNTIF($AJ19:$AO19,"=+MA")+$AE19&lt;1,1,VLOOKUP($E19,TeamT[],5,FALSE)+COUNTIF($AJ19:$AO19,"=+MA")+$AE19)))</f>
        <v/>
      </c>
      <c r="J19" s="230" t="str">
        <f>IF($E19="","",IF(VLOOKUP($E19,TeamT[],6,FALSE)+COUNTIF($AJ19:$AO19,"=+ST")+$AF19&gt;8,8,IF(VLOOKUP($E19,TeamT[],6,FALSE)+COUNTIF($AJ19:$AO19,"=+ST")+$AF19&lt;1,1,VLOOKUP($E19,TeamT[],6,FALSE)+COUNTIF($AJ19:$AO19,"=+ST")+$AF19)))</f>
        <v/>
      </c>
      <c r="K19" s="231" t="str">
        <f>IF($E19="","",IF(VLOOKUP($E19,TeamT[],19,FALSE)-COUNTIF($AJ19:$AO19,"=+AG")-$AG19&gt;6,6,IF(VLOOKUP($E19,TeamT[],19,FALSE)-COUNTIF($AJ19:$AO19,"=+AG")-$AG19&lt;1,1,VLOOKUP($E19,TeamT[],19,FALSE)-COUNTIF($AJ19:$AO19,"=+AG")-$AG19)))</f>
        <v/>
      </c>
      <c r="L19" s="231" t="str">
        <f>IF($E19="","",IF(VLOOKUP($E19,TeamT[],20,FALSE)="-","-",IF(VLOOKUP($E19,TeamT[],20,FALSE)-COUNTIF($AJ19:$AO19,"=+PA")-$AH19&gt;6,6,IF(VLOOKUP($E19,TeamT[],20,FALSE)-COUNTIF($AJ19:$AO19,"=+PA")-$AH19&lt;1,1,VLOOKUP($E19,TeamT[],20,FALSE)-COUNTIF($AJ19:$AO19,"=+PA")-$AH19))))</f>
        <v/>
      </c>
      <c r="M19" s="231" t="str">
        <f>IF($E19="","",IF(VLOOKUP($E19,TeamT[],21,FALSE)+COUNTIF($AJ19:$AO19,"=+AV")+$AI19&gt;11,11,IF(VLOOKUP($E19,TeamT[],21,FALSE)+COUNTIF($AJ19:$AO19,"=+AV")+$AI19&lt;3,3,VLOOKUP($E19,TeamT[],21,FALSE)+COUNTIF($AJ19:$AO19,"=+AV")+$AI19)))</f>
        <v/>
      </c>
      <c r="N19" s="225" t="str">
        <f>IF($E19="","",IF(COUNTIF($E$5:$E$20,$E19)&gt;VLOOKUP($E19,TeamT[],4,FALSE),"ERROR! Too many Player wit same role",(IF(Reces!$BR18&lt;&gt;0,"ERROR! Too many Big Guys!",(IF(Reces!$BT18&lt;&gt;0,"ERROR! Too many Star Players!",VLOOKUP($E19,TeamT[],10,FALSE)))))))</f>
        <v/>
      </c>
      <c r="O19" s="106" t="str">
        <f>CONCATENATE($AJ19,IF($AK19&lt;&gt;"",", ",""),$AK19,IF($AL19&lt;&gt;"",", ",""),$AL19,IF($AM19&lt;&gt;"",", ",""),AM19,IF($AN19&lt;&gt;"",", ",""),AN19,IF($AO19&lt;&gt;"",", ",""),AO19)</f>
        <v/>
      </c>
      <c r="P19" s="254"/>
      <c r="Q19" s="254"/>
      <c r="R19" s="183"/>
      <c r="S19" s="183"/>
      <c r="T19" s="183"/>
      <c r="U19" s="183"/>
      <c r="V19" s="183"/>
      <c r="W19" s="183"/>
      <c r="X19" s="184"/>
      <c r="Y19" s="117">
        <f t="shared" si="0"/>
        <v>0</v>
      </c>
      <c r="Z19" s="172">
        <f>IF(LEFT($E19,1)="*","Star",$Y19+IF($AJ19=0,0,IF(OR($AJ19="+MA",$AJ19="+ST",$AJ19="+AG",$AJ19="+PA",$AJ19="+AV"),-18,IF(VLOOKUP($AJ19,AbilityT[],2,FALSE)="General",-6*VLOOKUP($E19,TeamT[],11,FALSE),IF(VLOOKUP($AJ19,AbilityT[],2,FALSE)="Agility",-6*VLOOKUP($E19,TeamT[],12,FALSE),IF(VLOOKUP($AJ19,AbilityT[],2,FALSE)="Strength",-6*VLOOKUP($E19,TeamT[],13,FALSE),IF(VLOOKUP($AJ19,AbilityT[],2,FALSE)="Passing",-6*VLOOKUP($E19,TeamT[],14,FALSE),IF(VLOOKUP($AJ19,AbilityT[],2,FALSE)="Mutation",-6*VLOOKUP($E19,TeamT[],15,FALSE),IF(VLOOKUP($AJ19,AbilityT[],2,FALSE)="General_R",-3*VLOOKUP($E19,TeamT[],11,FALSE),IF(VLOOKUP($AJ19,AbilityT[],2,FALSE)="Agility_R",-3*VLOOKUP($E19,TeamT[],12,FALSE),IF(VLOOKUP($AJ19,AbilityT[],2,FALSE)="Strength_R",-3*VLOOKUP($E19,TeamT[],13,FALSE),IF(VLOOKUP($AJ19,AbilityT[],2,FALSE)="Passing_R",-3*VLOOKUP($E19,TeamT[],14,FALSE),IF(VLOOKUP($AJ19,AbilityT[],2,FALSE)="Mutation_R",-3*VLOOKUP($E19,TeamT[],15,FALSE),"ERROR")))))))))))+IF($AK19=0,0,IF(OR($AK19="+MA",$AK19="+ST",$AK19="+AG",$AK19="+PA",$AK19="+AV"),-20,IF(VLOOKUP($AK19,AbilityT[],2,FALSE)="General",IF(VLOOKUP($E19,TeamT[],11,FALSE)=1,-8*VLOOKUP($E19,TeamT[],11,FALSE),-7*VLOOKUP($E19,TeamT[],11,FALSE)),IF(VLOOKUP($AK19,AbilityT[],2,FALSE)="Agility",IF(VLOOKUP($E19,TeamT[],12,FALSE)=1,-8*VLOOKUP($E19,TeamT[],12,FALSE),-7*VLOOKUP($E19,TeamT[],12,FALSE)),IF(VLOOKUP($AK19,AbilityT[],2,FALSE)="Strength",IF(VLOOKUP($E19,TeamT[],13,FALSE)=1,-8*VLOOKUP($E19,TeamT[],13,FALSE),-7*VLOOKUP($E19,TeamT[],13,FALSE)),IF(VLOOKUP($AK19,AbilityT[],2,FALSE)="Passing",IF(VLOOKUP($E19,TeamT[],14,FALSE)=1,-8*VLOOKUP($E19,TeamT[],14,FALSE),-7*VLOOKUP($E19,TeamT[],14,FALSE)),IF(VLOOKUP($AK19,AbilityT[],2,FALSE)="Mutation",IF(VLOOKUP($E19,TeamT[],15,FALSE)=1,-8*VLOOKUP($E19,TeamT[],15,FALSE),-7*VLOOKUP($E19,TeamT[],15,FALSE)),IF(VLOOKUP($AK19,AbilityT[],2,FALSE)="General_R",-4*VLOOKUP($E19,TeamT[],11,FALSE),IF(VLOOKUP($AK19,AbilityT[],2,FALSE)="Agility_R",-4*VLOOKUP($E19,TeamT[],12,FALSE),IF(VLOOKUP($AK19,AbilityT[],2,FALSE)="Strength_R",-4*VLOOKUP($E19,TeamT[],13,FALSE),IF(VLOOKUP($AK19,AbilityT[],2,FALSE)="Passing_R",-4*VLOOKUP($E19,TeamT[],14,FALSE),IF(VLOOKUP($AK19,AbilityT[],2,FALSE)="Mutation_R",-4*VLOOKUP($E19,TeamT[],15,FALSE),"ERROR"))))))))))))+IF($AL19=0,0,IF(OR($AL19="+MA",$AL19="+ST",$AL19="+AG",$AL19="+PA",$AL19="+AV"),-24,IF(VLOOKUP($AL19,AbilityT[],2,FALSE)="General",IF(VLOOKUP($E19,TeamT[],11,FALSE)=1,-12*VLOOKUP($E19,TeamT[],11,FALSE),-9*VLOOKUP($E19,TeamT[],11,FALSE)),IF(VLOOKUP($AL19,AbilityT[],2,FALSE)="Agility",IF(VLOOKUP($E19,TeamT[],12,FALSE)=1,-12*VLOOKUP($E19,TeamT[],12,FALSE),-9*VLOOKUP($E19,TeamT[],12,FALSE)),IF(VLOOKUP($AL19,AbilityT[],2,FALSE)="Strength",IF(VLOOKUP($E19,TeamT[],13,FALSE)=1,-12*VLOOKUP($E19,TeamT[],13,FALSE),-9*VLOOKUP($E19,TeamT[],13,FALSE)),IF(VLOOKUP($AL19,AbilityT[],2,FALSE)="Passing",IF(VLOOKUP($E19,TeamT[],14,FALSE)=1,-12*VLOOKUP($E19,TeamT[],14,FALSE),-9*VLOOKUP($E19,TeamT[],14,FALSE)),IF(VLOOKUP($AL19,AbilityT[],2,FALSE)="Mutation",IF(VLOOKUP($E19,TeamT[],15,FALSE)=1,-12*VLOOKUP($E19,TeamT[],15,FALSE),-9*VLOOKUP($E19,TeamT[],15,FALSE)),IF(VLOOKUP($AL19,AbilityT[],2,FALSE)="General_R",-6*VLOOKUP($E19,TeamT[],11,FALSE),IF(VLOOKUP($AL19,AbilityT[],2,FALSE)="Agility_R",-6*VLOOKUP($E19,TeamT[],12,FALSE),IF(VLOOKUP($AL19,AbilityT[],2,FALSE)="Strength_R",-6*VLOOKUP($E19,TeamT[],13,FALSE),IF(VLOOKUP($AL19,AbilityT[],2,FALSE)="Passing_R",-6*VLOOKUP($E19,TeamT[],14,FALSE),IF(VLOOKUP($AL19,AbilityT[],2,FALSE)="Mutation_R",-6*VLOOKUP($E19,TeamT[],15,FALSE),"ERROR"))))))))))))+IF($AM19=0,0,IF(OR($AM19="+MA",$AM19="+ST",$AM19="+AG",$AM19="+PA",$AM19="+AV"),-28,IF(VLOOKUP($AM19,AbilityT[],2,FALSE)="General",IF(VLOOKUP($E19,TeamT[],11,FALSE)=1,-16*VLOOKUP($E19,TeamT[],11,FALSE),-11*VLOOKUP($E19,TeamT[],11,FALSE)),IF(VLOOKUP($AM19,AbilityT[],2,FALSE)="Agility",IF(VLOOKUP($E19,TeamT[],12,FALSE)=1,-16*VLOOKUP($E19,TeamT[],12,FALSE),-11*VLOOKUP($E19,TeamT[],12,FALSE)),IF(VLOOKUP($AM19,AbilityT[],2,FALSE)="Strength",IF(VLOOKUP($E19,TeamT[],13,FALSE)=1,-16*VLOOKUP($E19,TeamT[],13,FALSE),-11*VLOOKUP($E19,TeamT[],13,FALSE)),IF(VLOOKUP($AM19,AbilityT[],2,FALSE)="Passing",IF(VLOOKUP($E19,TeamT[],14,FALSE)=1,-16*VLOOKUP($E19,TeamT[],14,FALSE),-11*VLOOKUP($E19,TeamT[],14,FALSE)),IF(VLOOKUP($AM19,AbilityT[],2,FALSE)="Mutation",IF(VLOOKUP($E19,TeamT[],15,FALSE)=1,-16*VLOOKUP($E19,TeamT[],15,FALSE),-11*VLOOKUP($E19,TeamT[],15,FALSE)),IF(VLOOKUP($AM19,AbilityT[],2,FALSE)="General_R",-8*VLOOKUP($E19,TeamT[],11,FALSE),IF(VLOOKUP($AM19,AbilityT[],2,FALSE)="Agility_R",-8*VLOOKUP($E19,TeamT[],12,FALSE),IF(VLOOKUP($AM19,AbilityT[],2,FALSE)="Strength_R",-8*VLOOKUP($E19,TeamT[],13,FALSE),IF(VLOOKUP($AM19,AbilityT[],2,FALSE)="Passing_R",-8*VLOOKUP($E19,TeamT[],14,FALSE),IF(VLOOKUP($AM19,AbilityT[],2,FALSE)="Mutation_R",-8*VLOOKUP($E19,TeamT[],15,FALSE),"ERROR"))))))))))))+IF($AN19=0,0,IF(OR($AN19="+MA",$AN19="+ST",$AN19="+AG",$AN19="+PA",$AN19="+AV"),-32,IF(VLOOKUP($AN19,AbilityT[],2,FALSE)="General",IF(VLOOKUP($E19,TeamT[],11,FALSE)=1,-20*VLOOKUP($E19,TeamT[],11,FALSE),-13*VLOOKUP($E19,TeamT[],11,FALSE)),IF(VLOOKUP($AN19,AbilityT[],2,FALSE)="Agility",IF(VLOOKUP($E19,TeamT[],12,FALSE)=1,-20*VLOOKUP($E19,TeamT[],12,FALSE),-13*VLOOKUP($E19,TeamT[],12,FALSE)),IF(VLOOKUP($AN19,AbilityT[],2,FALSE)="Strength",IF(VLOOKUP($E19,TeamT[],13,FALSE)=1,-20*VLOOKUP($E19,TeamT[],13,FALSE),-13*VLOOKUP($E19,TeamT[],13,FALSE)),IF(VLOOKUP($AN19,AbilityT[],2,FALSE)="Passing",IF(VLOOKUP($E19,TeamT[],14,FALSE)=1,-20*VLOOKUP($E19,TeamT[],14,FALSE),-13*VLOOKUP($E19,TeamT[],14,FALSE)),IF(VLOOKUP($AN19,AbilityT[],2,FALSE)="Mutation",IF(VLOOKUP($E19,TeamT[],15,FALSE)=1,-20*VLOOKUP($E19,TeamT[],15,FALSE),-13*VLOOKUP($E19,TeamT[],15,FALSE)),IF(VLOOKUP($AN19,AbilityT[],2,FALSE)="General_R",-10*VLOOKUP($E19,TeamT[],11,FALSE),IF(VLOOKUP($AN19,AbilityT[],2,FALSE)="Agility_R",-10*VLOOKUP($E19,TeamT[],12,FALSE),IF(VLOOKUP($AN19,AbilityT[],2,FALSE)="Strength_R",-10*VLOOKUP($E19,TeamT[],13,FALSE),IF(VLOOKUP($AN19,AbilityT[],2,FALSE)="Passing_R",-10*VLOOKUP($E19,TeamT[],14,FALSE),IF(VLOOKUP($AN19,AbilityT[],2,FALSE)="Mutation_R",-10*VLOOKUP($E19,TeamT[],15,FALSE),"ERROR"))))))))))))+IF($AO19=0,0,IF(OR($AO19="+MA",$AO19="+ST",$AO19="+AG",$AO19="+PA",$AO19="+AV"),-50,IF(VLOOKUP($AO19,AbilityT[],2,FALSE)="General",IF(VLOOKUP($E19,TeamT[],11,FALSE)=1,-30*VLOOKUP($E19,TeamT[],11,FALSE),-20*VLOOKUP($E19,TeamT[],11,FALSE)),IF(VLOOKUP($AO19,AbilityT[],2,FALSE)="Agility",IF(VLOOKUP($E19,TeamT[],12,FALSE)=1,-30*VLOOKUP($E19,TeamT[],12,FALSE),-20*VLOOKUP($E19,TeamT[],12,FALSE)),IF(VLOOKUP($AO19,AbilityT[],2,FALSE)="Strength",IF(VLOOKUP($E19,TeamT[],13,FALSE)=1,-30*VLOOKUP($E19,TeamT[],13,FALSE),-20*VLOOKUP($E19,TeamT[],13,FALSE)),IF(VLOOKUP($AO19,AbilityT[],2,FALSE)="Passing",IF(VLOOKUP($E19,TeamT[],14,FALSE)=1,-30*VLOOKUP($E19,TeamT[],14,FALSE),-20*VLOOKUP($E19,TeamT[],14,FALSE)),IF(VLOOKUP($AO19,AbilityT[],2,FALSE)="Mutation",IF(VLOOKUP($E19,TeamT[],15,FALSE)=1,-30*VLOOKUP($E19,TeamT[],15,FALSE),-20*VLOOKUP($E19,TeamT[],15,FALSE)),IF(VLOOKUP($AO19,AbilityT[],2,FALSE)="General_R",-15*VLOOKUP($E19,TeamT[],11,FALSE),IF(VLOOKUP($AO19,AbilityT[],2,FALSE)="Agility_R",-15*VLOOKUP($E19,TeamT[],12,FALSE),IF(VLOOKUP($AO19,AbilityT[],2,FALSE)="Strength_R",-15*VLOOKUP($E19,TeamT[],13,FALSE),IF(VLOOKUP($AO19,AbilityT[],2,FALSE)="Passing_R",-15*VLOOKUP($E19,TeamT[],14,FALSE),IF(VLOOKUP($AO19,AbilityT[],2,FALSE)="Mutation_R",-15*VLOOKUP($E19,TeamT[],15,FALSE),"ERROR")))))))))))))+IF($AA19&lt;=5,-6*$AA19,-6*$AA19-4))</f>
        <v>0</v>
      </c>
      <c r="AA19" s="188"/>
      <c r="AB19" s="115">
        <f>IF($E19="",0,VLOOKUP($E19,TeamT[],3,FALSE)+IF($O$28="Tournament Setup",0,IF($AJ19="",0,IF($AJ19="+AV",10000,IF(OR($AJ19="+MA",$AJ19="+PA"),20000,IF($AJ19="+AG",40000,IF($AJ19="+ST",80000,20000*IF(VLOOKUP($AJ19,AbilityT[],2,FALSE)="General",VLOOKUP($E19,TeamT[],11,FALSE),IF(VLOOKUP($AJ19,AbilityT[],2,FALSE)="Agility",VLOOKUP($E19,TeamT[],12,FALSE),IF(VLOOKUP($AJ19,AbilityT[],2,FALSE)="Strength",VLOOKUP($E19,TeamT[],13,FALSE),IF(VLOOKUP($AJ19,AbilityT[],2,FALSE)="Passing",VLOOKUP($E19,TeamT[],14,FALSE),IF(VLOOKUP($AJ19,AbilityT[],2,FALSE)="Mutation",VLOOKUP($E19,TeamT[],15,FALSE),IF(VLOOKUP($AJ19,AbilityT[],2,FALSE)="General_R",0.5*VLOOKUP($E19,TeamT[],11,FALSE),IF(VLOOKUP($AJ19,AbilityT[],2,FALSE)="Agility_R",0.5*VLOOKUP($E19,TeamT[],12,FALSE),IF(VLOOKUP($AJ19,AbilityT[],2,FALSE)="Strength_R",0.5*VLOOKUP($E19,TeamT[],13,FALSE),IF(VLOOKUP($AJ19,AbilityT[],2,FALSE)="Passing_R",0.5*VLOOKUP($E19,TeamT[],14,FALSE),IF(VLOOKUP($AJ19,AbilityT[],2,FALSE)="Mutation_R",0.5*VLOOKUP($E19,TeamT[],15,FALSE),"ERROR")))))))))))))))+IF($AK19="",0,IF($AK19="+AV",10000,IF(OR($AK19="+MA",$AK19="+PA"),20000,IF($AK19="+AG",40000,IF($AK19="+ST",80000,20000*IF(VLOOKUP($AK19,AbilityT[],2,FALSE)="General",VLOOKUP($E19,TeamT[],11,FALSE),IF(VLOOKUP($AK19,AbilityT[],2,FALSE)="Agility",VLOOKUP($E19,TeamT[],12,FALSE),IF(VLOOKUP($AK19,AbilityT[],2,FALSE)="Strength",VLOOKUP($E19,TeamT[],13,FALSE),IF(VLOOKUP($AK19,AbilityT[],2,FALSE)="Passing",VLOOKUP($E19,TeamT[],14,FALSE),IF(VLOOKUP($AK19,AbilityT[],2,FALSE)="Mutation",VLOOKUP($E19,TeamT[],15,FALSE),IF(VLOOKUP($AK19,AbilityT[],2,FALSE)="General_R",0.5*VLOOKUP($E19,TeamT[],11,FALSE),IF(VLOOKUP($AK19,AbilityT[],2,FALSE)="Agility_R",0.5*VLOOKUP($E19,TeamT[],12,FALSE),IF(VLOOKUP($AK19,AbilityT[],2,FALSE)="Strength_R",0.5*VLOOKUP($E19,TeamT[],13,FALSE),IF(VLOOKUP($AK19,AbilityT[],2,FALSE)="Passing_R",0.5*VLOOKUP($E19,TeamT[],14,FALSE),IF(VLOOKUP($AK19,AbilityT[],2,FALSE)="Mutation_R",0.5*VLOOKUP($E19,TeamT[],15,FALSE),"ERROR")))))))))))))))+IF($AL19="",0,IF($AL19="+AV",10000,IF(OR($AL19="+MA",$AL19="+PA"),20000,IF($AL19="+AG",40000,IF($AL19="+ST",80000,20000*IF(VLOOKUP($AL19,AbilityT[],2,FALSE)="General",VLOOKUP($E19,TeamT[],11,FALSE),IF(VLOOKUP($AL19,AbilityT[],2,FALSE)="Agility",VLOOKUP($E19,TeamT[],12,FALSE),IF(VLOOKUP($AL19,AbilityT[],2,FALSE)="Strength",VLOOKUP($E19,TeamT[],13,FALSE),IF(VLOOKUP($AL19,AbilityT[],2,FALSE)="Passing",VLOOKUP($E19,TeamT[],14,FALSE),IF(VLOOKUP($AL19,AbilityT[],2,FALSE)="Mutation",VLOOKUP($E19,TeamT[],15,FALSE),IF(VLOOKUP($AL19,AbilityT[],2,FALSE)="General_R",0.5*VLOOKUP($E19,TeamT[],11,FALSE),IF(VLOOKUP($AL19,AbilityT[],2,FALSE)="Agility_R",0.5*VLOOKUP($E19,TeamT[],12,FALSE),IF(VLOOKUP($AL19,AbilityT[],2,FALSE)="Strength_R",0.5*VLOOKUP($E19,TeamT[],13,FALSE),IF(VLOOKUP($AL19,AbilityT[],2,FALSE)="Passing_R",0.5*VLOOKUP($E19,TeamT[],14,FALSE),IF(VLOOKUP($AL19,AbilityT[],2,FALSE)="Mutation_R",0.5*VLOOKUP($E19,TeamT[],15,FALSE),"ERROR")))))))))))))))+IF($AM19="",0,IF($AM19="+AV",10000,IF(OR($AM19="+MA",$AM19="+PA"),20000,IF($AM19="+AG",40000,IF($AM19="+ST",80000,20000*IF(VLOOKUP($AM19,AbilityT[],2,FALSE)="General",VLOOKUP($E19,TeamT[],11,FALSE),IF(VLOOKUP($AM19,AbilityT[],2,FALSE)="Agility",VLOOKUP($E19,TeamT[],12,FALSE),IF(VLOOKUP($AM19,AbilityT[],2,FALSE)="Strength",VLOOKUP($E19,TeamT[],13,FALSE),IF(VLOOKUP($AM19,AbilityT[],2,FALSE)="Passing",VLOOKUP($E19,TeamT[],14,FALSE),IF(VLOOKUP($AM19,AbilityT[],2,FALSE)="Mutation",VLOOKUP($E19,TeamT[],15,FALSE),IF(VLOOKUP($AM19,AbilityT[],2,FALSE)="General_R",0.5*VLOOKUP($E19,TeamT[],11,FALSE),IF(VLOOKUP($AM19,AbilityT[],2,FALSE)="Agility_R",0.5*VLOOKUP($E19,TeamT[],12,FALSE),IF(VLOOKUP($AM19,AbilityT[],2,FALSE)="Strength_R",0.5*VLOOKUP($E19,TeamT[],13,FALSE),IF(VLOOKUP($AM19,AbilityT[],2,FALSE)="Passing_R",0.5*VLOOKUP($E19,TeamT[],14,FALSE),IF(VLOOKUP($AM19,AbilityT[],2,FALSE)="Mutation_R",0.5*VLOOKUP($E19,TeamT[],15,FALSE),"ERROR")))))))))))))))+IF($AN19="",0,IF($AN19="+AV",10000,IF(OR($AN19="+MA",$AN19="+PA"),20000,IF($AN19="+AG",40000,IF($AN19="+ST",80000,20000*IF(VLOOKUP($AN19,AbilityT[],2,FALSE)="General",VLOOKUP($E19,TeamT[],11,FALSE),IF(VLOOKUP($AN19,AbilityT[],2,FALSE)="Agility",VLOOKUP($E19,TeamT[],12,FALSE),IF(VLOOKUP($AN19,AbilityT[],2,FALSE)="Strength",VLOOKUP($E19,TeamT[],13,FALSE),IF(VLOOKUP($AN19,AbilityT[],2,FALSE)="Passing",VLOOKUP($E19,TeamT[],14,FALSE),IF(VLOOKUP($AN19,AbilityT[],2,FALSE)="Mutation",VLOOKUP($E19,TeamT[],15,FALSE),IF(VLOOKUP($AN19,AbilityT[],2,FALSE)="General_R",0.5*VLOOKUP($E19,TeamT[],11,FALSE),IF(VLOOKUP($AN19,AbilityT[],2,FALSE)="Agility_R",0.5*VLOOKUP($E19,TeamT[],12,FALSE),IF(VLOOKUP($AN19,AbilityT[],2,FALSE)="Strength_R",0.5*VLOOKUP($E19,TeamT[],13,FALSE),IF(VLOOKUP($AN19,AbilityT[],2,FALSE)="Passing_R",0.5*VLOOKUP($E19,TeamT[],14,FALSE),IF(VLOOKUP($AN19,AbilityT[],2,FALSE)="Mutation_R",0.5*VLOOKUP($E19,TeamT[],15,FALSE),"ERROR")))))))))))))))+IF($AO19="",0,IF($AO19="+AV",10000,IF(OR($AO19="+MA",$AO19="+PA"),20000,IF($AO19="+AG",40000,IF($AO19="+ST",80000,20000*IF(VLOOKUP($AO19,AbilityT[],2,FALSE)="General",VLOOKUP($E19,TeamT[],11,FALSE),IF(VLOOKUP($AO19,AbilityT[],2,FALSE)="Agility",VLOOKUP($E19,TeamT[],12,FALSE),IF(VLOOKUP($AO19,AbilityT[],2,FALSE)="Strength",VLOOKUP($E19,TeamT[],13,FALSE),IF(VLOOKUP($AO19,AbilityT[],2,FALSE)="Passing",VLOOKUP($E19,TeamT[],14,FALSE),IF(VLOOKUP($AO19,AbilityT[],2,FALSE)="Mutation",VLOOKUP($E19,TeamT[],15,FALSE),IF(VLOOKUP($AO19,AbilityT[],2,FALSE)="General_R",0.5*VLOOKUP($E19,TeamT[],11,FALSE),IF(VLOOKUP($AO19,AbilityT[],2,FALSE)="Agility_R",0.5*VLOOKUP($E19,TeamT[],12,FALSE),IF(VLOOKUP($AO19,AbilityT[],2,FALSE)="Strength_R",0.5*VLOOKUP($E19,TeamT[],13,FALSE),IF(VLOOKUP($AO19,AbilityT[],2,FALSE)="Passing_R",0.5*VLOOKUP($E19,TeamT[],14,FALSE),IF(VLOOKUP($AO19,AbilityT[],2,FALSE)="Mutation_R",0.5*VLOOKUP($E19,TeamT[],15,FALSE),"ERROR"))))))))))))))))+$AC19)</f>
        <v>0</v>
      </c>
      <c r="AC19" s="190"/>
      <c r="AD19" s="193"/>
      <c r="AE19" s="119"/>
      <c r="AF19" s="120"/>
      <c r="AG19" s="120"/>
      <c r="AH19" s="120"/>
      <c r="AI19" s="121"/>
      <c r="AJ19" s="118"/>
      <c r="AK19" s="118"/>
      <c r="AL19" s="118"/>
      <c r="AM19" s="118"/>
      <c r="AN19" s="118"/>
      <c r="AO19" s="118"/>
      <c r="AP19" s="199"/>
      <c r="BC19" s="1" t="e">
        <f>VLOOKUP($E19,TeamT[],5,FALSE)</f>
        <v>#N/A</v>
      </c>
      <c r="BD19" s="1" t="e">
        <f>VLOOKUP($E19,TeamT[],6,FALSE)</f>
        <v>#N/A</v>
      </c>
      <c r="BE19" s="1" t="e">
        <f>VLOOKUP($E19,TeamT[],19,FALSE)</f>
        <v>#N/A</v>
      </c>
      <c r="BF19" s="1" t="e">
        <f>VLOOKUP($E19,TeamT[],20,FALSE)</f>
        <v>#N/A</v>
      </c>
      <c r="BG19" s="1" t="e">
        <f>VLOOKUP($E19,TeamT[],21,FALSE)</f>
        <v>#N/A</v>
      </c>
    </row>
    <row r="20" spans="2:59" ht="34.9" customHeight="1" thickBot="1" x14ac:dyDescent="0.2">
      <c r="B20" s="180">
        <v>16</v>
      </c>
      <c r="C20" s="69"/>
      <c r="D20" s="71">
        <f t="shared" si="1"/>
        <v>0</v>
      </c>
      <c r="E20" s="265"/>
      <c r="F20" s="265"/>
      <c r="G20" s="265"/>
      <c r="H20" s="73" t="str">
        <f>IF($E20&lt;&gt;"",VLOOKUP(E20,TeamT[],4,FALSE),"")</f>
        <v/>
      </c>
      <c r="I20" s="232" t="str">
        <f>IF($E20="","",IF(VLOOKUP($E20,TeamT[],5,FALSE)+COUNTIF($AJ20:$AO20,"=+MA")+$AE20&gt;9,9,IF(VLOOKUP($E20,TeamT[],5,FALSE)+COUNTIF($AJ20:$AO20,"=+MA")+$AE20&lt;1,1,VLOOKUP($E20,TeamT[],5,FALSE)+COUNTIF($AJ20:$AO20,"=+MA")+$AE20)))</f>
        <v/>
      </c>
      <c r="J20" s="233" t="str">
        <f>IF($E20="","",IF(VLOOKUP($E20,TeamT[],6,FALSE)+COUNTIF($AJ20:$AO20,"=+ST")+$AF20&gt;8,8,IF(VLOOKUP($E20,TeamT[],6,FALSE)+COUNTIF($AJ20:$AO20,"=+ST")+$AF20&lt;1,1,VLOOKUP($E20,TeamT[],6,FALSE)+COUNTIF($AJ20:$AO20,"=+ST")+$AF20)))</f>
        <v/>
      </c>
      <c r="K20" s="234" t="str">
        <f>IF($E20="","",IF(VLOOKUP($E20,TeamT[],19,FALSE)-COUNTIF($AJ20:$AO20,"=+AG")-$AG20&gt;6,6,IF(VLOOKUP($E20,TeamT[],19,FALSE)-COUNTIF($AJ20:$AO20,"=+AG")-$AG20&lt;1,1,VLOOKUP($E20,TeamT[],19,FALSE)-COUNTIF($AJ20:$AO20,"=+AG")-$AG20)))</f>
        <v/>
      </c>
      <c r="L20" s="234" t="str">
        <f>IF($E20="","",IF(VLOOKUP($E20,TeamT[],20,FALSE)="-","-",IF(VLOOKUP($E20,TeamT[],20,FALSE)-COUNTIF($AJ20:$AO20,"=+PA")-$AH20&gt;6,6,IF(VLOOKUP($E20,TeamT[],20,FALSE)-COUNTIF($AJ20:$AO20,"=+PA")-$AH20&lt;1,1,VLOOKUP($E20,TeamT[],20,FALSE)-COUNTIF($AJ20:$AO20,"=+PA")-$AH20))))</f>
        <v/>
      </c>
      <c r="M20" s="234" t="str">
        <f>IF($E20="","",IF(VLOOKUP($E20,TeamT[],21,FALSE)+COUNTIF($AJ20:$AO20,"=+AV")+$AI20&gt;11,11,IF(VLOOKUP($E20,TeamT[],21,FALSE)+COUNTIF($AJ20:$AO20,"=+AV")+$AI20&lt;3,3,VLOOKUP($E20,TeamT[],21,FALSE)+COUNTIF($AJ20:$AO20,"=+AV")+$AI20)))</f>
        <v/>
      </c>
      <c r="N20" s="226" t="str">
        <f>IF($E20="","",IF(COUNTIF($E$5:$E$20,$E20)&gt;VLOOKUP($E20,TeamT[],4,FALSE),"ERROR! Too many Player wit same role",(IF(Reces!$BR19&lt;&gt;0,"ERROR! Too many Big Guys!",(IF(Reces!$BT19&lt;&gt;0,"ERROR! Too many Star Players!",VLOOKUP($E20,TeamT[],10,FALSE)))))))</f>
        <v/>
      </c>
      <c r="O20" s="107" t="str">
        <f t="shared" si="2"/>
        <v/>
      </c>
      <c r="P20" s="255"/>
      <c r="Q20" s="255"/>
      <c r="R20" s="185"/>
      <c r="S20" s="186"/>
      <c r="T20" s="186"/>
      <c r="U20" s="186"/>
      <c r="V20" s="186"/>
      <c r="W20" s="186"/>
      <c r="X20" s="203"/>
      <c r="Y20" s="204">
        <f t="shared" si="0"/>
        <v>0</v>
      </c>
      <c r="Z20" s="205">
        <f>IF(LEFT($E20,1)="*","Star",$Y20+IF($AJ20=0,0,IF(OR($AJ20="+MA",$AJ20="+ST",$AJ20="+AG",$AJ20="+PA",$AJ20="+AV"),-18,IF(VLOOKUP($AJ20,AbilityT[],2,FALSE)="General",-6*VLOOKUP($E20,TeamT[],11,FALSE),IF(VLOOKUP($AJ20,AbilityT[],2,FALSE)="Agility",-6*VLOOKUP($E20,TeamT[],12,FALSE),IF(VLOOKUP($AJ20,AbilityT[],2,FALSE)="Strength",-6*VLOOKUP($E20,TeamT[],13,FALSE),IF(VLOOKUP($AJ20,AbilityT[],2,FALSE)="Passing",-6*VLOOKUP($E20,TeamT[],14,FALSE),IF(VLOOKUP($AJ20,AbilityT[],2,FALSE)="Mutation",-6*VLOOKUP($E20,TeamT[],15,FALSE),IF(VLOOKUP($AJ20,AbilityT[],2,FALSE)="General_R",-3*VLOOKUP($E20,TeamT[],11,FALSE),IF(VLOOKUP($AJ20,AbilityT[],2,FALSE)="Agility_R",-3*VLOOKUP($E20,TeamT[],12,FALSE),IF(VLOOKUP($AJ20,AbilityT[],2,FALSE)="Strength_R",-3*VLOOKUP($E20,TeamT[],13,FALSE),IF(VLOOKUP($AJ20,AbilityT[],2,FALSE)="Passing_R",-3*VLOOKUP($E20,TeamT[],14,FALSE),IF(VLOOKUP($AJ20,AbilityT[],2,FALSE)="Mutation_R",-3*VLOOKUP($E20,TeamT[],15,FALSE),"ERROR")))))))))))+IF($AK20=0,0,IF(OR($AK20="+MA",$AK20="+ST",$AK20="+AG",$AK20="+PA",$AK20="+AV"),-20,IF(VLOOKUP($AK20,AbilityT[],2,FALSE)="General",IF(VLOOKUP($E20,TeamT[],11,FALSE)=1,-8*VLOOKUP($E20,TeamT[],11,FALSE),-7*VLOOKUP($E20,TeamT[],11,FALSE)),IF(VLOOKUP($AK20,AbilityT[],2,FALSE)="Agility",IF(VLOOKUP($E20,TeamT[],12,FALSE)=1,-8*VLOOKUP($E20,TeamT[],12,FALSE),-7*VLOOKUP($E20,TeamT[],12,FALSE)),IF(VLOOKUP($AK20,AbilityT[],2,FALSE)="Strength",IF(VLOOKUP($E20,TeamT[],13,FALSE)=1,-8*VLOOKUP($E20,TeamT[],13,FALSE),-7*VLOOKUP($E20,TeamT[],13,FALSE)),IF(VLOOKUP($AK20,AbilityT[],2,FALSE)="Passing",IF(VLOOKUP($E20,TeamT[],14,FALSE)=1,-8*VLOOKUP($E20,TeamT[],14,FALSE),-7*VLOOKUP($E20,TeamT[],14,FALSE)),IF(VLOOKUP($AK20,AbilityT[],2,FALSE)="Mutation",IF(VLOOKUP($E20,TeamT[],15,FALSE)=1,-8*VLOOKUP($E20,TeamT[],15,FALSE),-7*VLOOKUP($E20,TeamT[],15,FALSE)),IF(VLOOKUP($AK20,AbilityT[],2,FALSE)="General_R",-4*VLOOKUP($E20,TeamT[],11,FALSE),IF(VLOOKUP($AK20,AbilityT[],2,FALSE)="Agility_R",-4*VLOOKUP($E20,TeamT[],12,FALSE),IF(VLOOKUP($AK20,AbilityT[],2,FALSE)="Strength_R",-4*VLOOKUP($E20,TeamT[],13,FALSE),IF(VLOOKUP($AK20,AbilityT[],2,FALSE)="Passing_R",-4*VLOOKUP($E20,TeamT[],14,FALSE),IF(VLOOKUP($AK20,AbilityT[],2,FALSE)="Mutation_R",-4*VLOOKUP($E20,TeamT[],15,FALSE),"ERROR"))))))))))))+IF($AL20=0,0,IF(OR($AL20="+MA",$AL20="+ST",$AL20="+AG",$AL20="+PA",$AL20="+AV"),-24,IF(VLOOKUP($AL20,AbilityT[],2,FALSE)="General",IF(VLOOKUP($E20,TeamT[],11,FALSE)=1,-12*VLOOKUP($E20,TeamT[],11,FALSE),-9*VLOOKUP($E20,TeamT[],11,FALSE)),IF(VLOOKUP($AL20,AbilityT[],2,FALSE)="Agility",IF(VLOOKUP($E20,TeamT[],12,FALSE)=1,-12*VLOOKUP($E20,TeamT[],12,FALSE),-9*VLOOKUP($E20,TeamT[],12,FALSE)),IF(VLOOKUP($AL20,AbilityT[],2,FALSE)="Strength",IF(VLOOKUP($E20,TeamT[],13,FALSE)=1,-12*VLOOKUP($E20,TeamT[],13,FALSE),-9*VLOOKUP($E20,TeamT[],13,FALSE)),IF(VLOOKUP($AL20,AbilityT[],2,FALSE)="Passing",IF(VLOOKUP($E20,TeamT[],14,FALSE)=1,-12*VLOOKUP($E20,TeamT[],14,FALSE),-9*VLOOKUP($E20,TeamT[],14,FALSE)),IF(VLOOKUP($AL20,AbilityT[],2,FALSE)="Mutation",IF(VLOOKUP($E20,TeamT[],15,FALSE)=1,-12*VLOOKUP($E20,TeamT[],15,FALSE),-9*VLOOKUP($E20,TeamT[],15,FALSE)),IF(VLOOKUP($AL20,AbilityT[],2,FALSE)="General_R",-6*VLOOKUP($E20,TeamT[],11,FALSE),IF(VLOOKUP($AL20,AbilityT[],2,FALSE)="Agility_R",-6*VLOOKUP($E20,TeamT[],12,FALSE),IF(VLOOKUP($AL20,AbilityT[],2,FALSE)="Strength_R",-6*VLOOKUP($E20,TeamT[],13,FALSE),IF(VLOOKUP($AL20,AbilityT[],2,FALSE)="Passing_R",-6*VLOOKUP($E20,TeamT[],14,FALSE),IF(VLOOKUP($AL20,AbilityT[],2,FALSE)="Mutation_R",-6*VLOOKUP($E20,TeamT[],15,FALSE),"ERROR"))))))))))))+IF($AM20=0,0,IF(OR($AM20="+MA",$AM20="+ST",$AM20="+AG",$AM20="+PA",$AM20="+AV"),-28,IF(VLOOKUP($AM20,AbilityT[],2,FALSE)="General",IF(VLOOKUP($E20,TeamT[],11,FALSE)=1,-16*VLOOKUP($E20,TeamT[],11,FALSE),-11*VLOOKUP($E20,TeamT[],11,FALSE)),IF(VLOOKUP($AM20,AbilityT[],2,FALSE)="Agility",IF(VLOOKUP($E20,TeamT[],12,FALSE)=1,-16*VLOOKUP($E20,TeamT[],12,FALSE),-11*VLOOKUP($E20,TeamT[],12,FALSE)),IF(VLOOKUP($AM20,AbilityT[],2,FALSE)="Strength",IF(VLOOKUP($E20,TeamT[],13,FALSE)=1,-16*VLOOKUP($E20,TeamT[],13,FALSE),-11*VLOOKUP($E20,TeamT[],13,FALSE)),IF(VLOOKUP($AM20,AbilityT[],2,FALSE)="Passing",IF(VLOOKUP($E20,TeamT[],14,FALSE)=1,-16*VLOOKUP($E20,TeamT[],14,FALSE),-11*VLOOKUP($E20,TeamT[],14,FALSE)),IF(VLOOKUP($AM20,AbilityT[],2,FALSE)="Mutation",IF(VLOOKUP($E20,TeamT[],15,FALSE)=1,-16*VLOOKUP($E20,TeamT[],15,FALSE),-11*VLOOKUP($E20,TeamT[],15,FALSE)),IF(VLOOKUP($AM20,AbilityT[],2,FALSE)="General_R",-8*VLOOKUP($E20,TeamT[],11,FALSE),IF(VLOOKUP($AM20,AbilityT[],2,FALSE)="Agility_R",-8*VLOOKUP($E20,TeamT[],12,FALSE),IF(VLOOKUP($AM20,AbilityT[],2,FALSE)="Strength_R",-8*VLOOKUP($E20,TeamT[],13,FALSE),IF(VLOOKUP($AM20,AbilityT[],2,FALSE)="Passing_R",-8*VLOOKUP($E20,TeamT[],14,FALSE),IF(VLOOKUP($AM20,AbilityT[],2,FALSE)="Mutation_R",-8*VLOOKUP($E20,TeamT[],15,FALSE),"ERROR"))))))))))))+IF($AN20=0,0,IF(OR($AN20="+MA",$AN20="+ST",$AN20="+AG",$AN20="+PA",$AN20="+AV"),-32,IF(VLOOKUP($AN20,AbilityT[],2,FALSE)="General",IF(VLOOKUP($E20,TeamT[],11,FALSE)=1,-20*VLOOKUP($E20,TeamT[],11,FALSE),-13*VLOOKUP($E20,TeamT[],11,FALSE)),IF(VLOOKUP($AN20,AbilityT[],2,FALSE)="Agility",IF(VLOOKUP($E20,TeamT[],12,FALSE)=1,-20*VLOOKUP($E20,TeamT[],12,FALSE),-13*VLOOKUP($E20,TeamT[],12,FALSE)),IF(VLOOKUP($AN20,AbilityT[],2,FALSE)="Strength",IF(VLOOKUP($E20,TeamT[],13,FALSE)=1,-20*VLOOKUP($E20,TeamT[],13,FALSE),-13*VLOOKUP($E20,TeamT[],13,FALSE)),IF(VLOOKUP($AN20,AbilityT[],2,FALSE)="Passing",IF(VLOOKUP($E20,TeamT[],14,FALSE)=1,-20*VLOOKUP($E20,TeamT[],14,FALSE),-13*VLOOKUP($E20,TeamT[],14,FALSE)),IF(VLOOKUP($AN20,AbilityT[],2,FALSE)="Mutation",IF(VLOOKUP($E20,TeamT[],15,FALSE)=1,-20*VLOOKUP($E20,TeamT[],15,FALSE),-13*VLOOKUP($E20,TeamT[],15,FALSE)),IF(VLOOKUP($AN20,AbilityT[],2,FALSE)="General_R",-10*VLOOKUP($E20,TeamT[],11,FALSE),IF(VLOOKUP($AN20,AbilityT[],2,FALSE)="Agility_R",-10*VLOOKUP($E20,TeamT[],12,FALSE),IF(VLOOKUP($AN20,AbilityT[],2,FALSE)="Strength_R",-10*VLOOKUP($E20,TeamT[],13,FALSE),IF(VLOOKUP($AN20,AbilityT[],2,FALSE)="Passing_R",-10*VLOOKUP($E20,TeamT[],14,FALSE),IF(VLOOKUP($AN20,AbilityT[],2,FALSE)="Mutation_R",-10*VLOOKUP($E20,TeamT[],15,FALSE),"ERROR"))))))))))))+IF($AO20=0,0,IF(OR($AO20="+MA",$AO20="+ST",$AO20="+AG",$AO20="+PA",$AO20="+AV"),-50,IF(VLOOKUP($AO20,AbilityT[],2,FALSE)="General",IF(VLOOKUP($E20,TeamT[],11,FALSE)=1,-30*VLOOKUP($E20,TeamT[],11,FALSE),-20*VLOOKUP($E20,TeamT[],11,FALSE)),IF(VLOOKUP($AO20,AbilityT[],2,FALSE)="Agility",IF(VLOOKUP($E20,TeamT[],12,FALSE)=1,-30*VLOOKUP($E20,TeamT[],12,FALSE),-20*VLOOKUP($E20,TeamT[],12,FALSE)),IF(VLOOKUP($AO20,AbilityT[],2,FALSE)="Strength",IF(VLOOKUP($E20,TeamT[],13,FALSE)=1,-30*VLOOKUP($E20,TeamT[],13,FALSE),-20*VLOOKUP($E20,TeamT[],13,FALSE)),IF(VLOOKUP($AO20,AbilityT[],2,FALSE)="Passing",IF(VLOOKUP($E20,TeamT[],14,FALSE)=1,-30*VLOOKUP($E20,TeamT[],14,FALSE),-20*VLOOKUP($E20,TeamT[],14,FALSE)),IF(VLOOKUP($AO20,AbilityT[],2,FALSE)="Mutation",IF(VLOOKUP($E20,TeamT[],15,FALSE)=1,-30*VLOOKUP($E20,TeamT[],15,FALSE),-20*VLOOKUP($E20,TeamT[],15,FALSE)),IF(VLOOKUP($AO20,AbilityT[],2,FALSE)="General_R",-15*VLOOKUP($E20,TeamT[],11,FALSE),IF(VLOOKUP($AO20,AbilityT[],2,FALSE)="Agility_R",-15*VLOOKUP($E20,TeamT[],12,FALSE),IF(VLOOKUP($AO20,AbilityT[],2,FALSE)="Strength_R",-15*VLOOKUP($E20,TeamT[],13,FALSE),IF(VLOOKUP($AO20,AbilityT[],2,FALSE)="Passing_R",-15*VLOOKUP($E20,TeamT[],14,FALSE),IF(VLOOKUP($AO20,AbilityT[],2,FALSE)="Mutation_R",-15*VLOOKUP($E20,TeamT[],15,FALSE),"ERROR")))))))))))))+IF($AA20&lt;=5,-6*$AA20,-6*$AA20-4))</f>
        <v>0</v>
      </c>
      <c r="AA20" s="206"/>
      <c r="AB20" s="115">
        <f>IF($E20="",0,VLOOKUP($E20,TeamT[],3,FALSE)+IF($O$28="Tournament Setup",0,IF($AJ20="",0,IF($AJ20="+AV",10000,IF(OR($AJ20="+MA",$AJ20="+PA"),20000,IF($AJ20="+AG",40000,IF($AJ20="+ST",80000,20000*IF(VLOOKUP($AJ20,AbilityT[],2,FALSE)="General",VLOOKUP($E20,TeamT[],11,FALSE),IF(VLOOKUP($AJ20,AbilityT[],2,FALSE)="Agility",VLOOKUP($E20,TeamT[],12,FALSE),IF(VLOOKUP($AJ20,AbilityT[],2,FALSE)="Strength",VLOOKUP($E20,TeamT[],13,FALSE),IF(VLOOKUP($AJ20,AbilityT[],2,FALSE)="Passing",VLOOKUP($E20,TeamT[],14,FALSE),IF(VLOOKUP($AJ20,AbilityT[],2,FALSE)="Mutation",VLOOKUP($E20,TeamT[],15,FALSE),IF(VLOOKUP($AJ20,AbilityT[],2,FALSE)="General_R",0.5*VLOOKUP($E20,TeamT[],11,FALSE),IF(VLOOKUP($AJ20,AbilityT[],2,FALSE)="Agility_R",0.5*VLOOKUP($E20,TeamT[],12,FALSE),IF(VLOOKUP($AJ20,AbilityT[],2,FALSE)="Strength_R",0.5*VLOOKUP($E20,TeamT[],13,FALSE),IF(VLOOKUP($AJ20,AbilityT[],2,FALSE)="Passing_R",0.5*VLOOKUP($E20,TeamT[],14,FALSE),IF(VLOOKUP($AJ20,AbilityT[],2,FALSE)="Mutation_R",0.5*VLOOKUP($E20,TeamT[],15,FALSE),"ERROR")))))))))))))))+IF($AK20="",0,IF($AK20="+AV",10000,IF(OR($AK20="+MA",$AK20="+PA"),20000,IF($AK20="+AG",40000,IF($AK20="+ST",80000,20000*IF(VLOOKUP($AK20,AbilityT[],2,FALSE)="General",VLOOKUP($E20,TeamT[],11,FALSE),IF(VLOOKUP($AK20,AbilityT[],2,FALSE)="Agility",VLOOKUP($E20,TeamT[],12,FALSE),IF(VLOOKUP($AK20,AbilityT[],2,FALSE)="Strength",VLOOKUP($E20,TeamT[],13,FALSE),IF(VLOOKUP($AK20,AbilityT[],2,FALSE)="Passing",VLOOKUP($E20,TeamT[],14,FALSE),IF(VLOOKUP($AK20,AbilityT[],2,FALSE)="Mutation",VLOOKUP($E20,TeamT[],15,FALSE),IF(VLOOKUP($AK20,AbilityT[],2,FALSE)="General_R",0.5*VLOOKUP($E20,TeamT[],11,FALSE),IF(VLOOKUP($AK20,AbilityT[],2,FALSE)="Agility_R",0.5*VLOOKUP($E20,TeamT[],12,FALSE),IF(VLOOKUP($AK20,AbilityT[],2,FALSE)="Strength_R",0.5*VLOOKUP($E20,TeamT[],13,FALSE),IF(VLOOKUP($AK20,AbilityT[],2,FALSE)="Passing_R",0.5*VLOOKUP($E20,TeamT[],14,FALSE),IF(VLOOKUP($AK20,AbilityT[],2,FALSE)="Mutation_R",0.5*VLOOKUP($E20,TeamT[],15,FALSE),"ERROR")))))))))))))))+IF($AL20="",0,IF($AL20="+AV",10000,IF(OR($AL20="+MA",$AL20="+PA"),20000,IF($AL20="+AG",40000,IF($AL20="+ST",80000,20000*IF(VLOOKUP($AL20,AbilityT[],2,FALSE)="General",VLOOKUP($E20,TeamT[],11,FALSE),IF(VLOOKUP($AL20,AbilityT[],2,FALSE)="Agility",VLOOKUP($E20,TeamT[],12,FALSE),IF(VLOOKUP($AL20,AbilityT[],2,FALSE)="Strength",VLOOKUP($E20,TeamT[],13,FALSE),IF(VLOOKUP($AL20,AbilityT[],2,FALSE)="Passing",VLOOKUP($E20,TeamT[],14,FALSE),IF(VLOOKUP($AL20,AbilityT[],2,FALSE)="Mutation",VLOOKUP($E20,TeamT[],15,FALSE),IF(VLOOKUP($AL20,AbilityT[],2,FALSE)="General_R",0.5*VLOOKUP($E20,TeamT[],11,FALSE),IF(VLOOKUP($AL20,AbilityT[],2,FALSE)="Agility_R",0.5*VLOOKUP($E20,TeamT[],12,FALSE),IF(VLOOKUP($AL20,AbilityT[],2,FALSE)="Strength_R",0.5*VLOOKUP($E20,TeamT[],13,FALSE),IF(VLOOKUP($AL20,AbilityT[],2,FALSE)="Passing_R",0.5*VLOOKUP($E20,TeamT[],14,FALSE),IF(VLOOKUP($AL20,AbilityT[],2,FALSE)="Mutation_R",0.5*VLOOKUP($E20,TeamT[],15,FALSE),"ERROR")))))))))))))))+IF($AM20="",0,IF($AM20="+AV",10000,IF(OR($AM20="+MA",$AM20="+PA"),20000,IF($AM20="+AG",40000,IF($AM20="+ST",80000,20000*IF(VLOOKUP($AM20,AbilityT[],2,FALSE)="General",VLOOKUP($E20,TeamT[],11,FALSE),IF(VLOOKUP($AM20,AbilityT[],2,FALSE)="Agility",VLOOKUP($E20,TeamT[],12,FALSE),IF(VLOOKUP($AM20,AbilityT[],2,FALSE)="Strength",VLOOKUP($E20,TeamT[],13,FALSE),IF(VLOOKUP($AM20,AbilityT[],2,FALSE)="Passing",VLOOKUP($E20,TeamT[],14,FALSE),IF(VLOOKUP($AM20,AbilityT[],2,FALSE)="Mutation",VLOOKUP($E20,TeamT[],15,FALSE),IF(VLOOKUP($AM20,AbilityT[],2,FALSE)="General_R",0.5*VLOOKUP($E20,TeamT[],11,FALSE),IF(VLOOKUP($AM20,AbilityT[],2,FALSE)="Agility_R",0.5*VLOOKUP($E20,TeamT[],12,FALSE),IF(VLOOKUP($AM20,AbilityT[],2,FALSE)="Strength_R",0.5*VLOOKUP($E20,TeamT[],13,FALSE),IF(VLOOKUP($AM20,AbilityT[],2,FALSE)="Passing_R",0.5*VLOOKUP($E20,TeamT[],14,FALSE),IF(VLOOKUP($AM20,AbilityT[],2,FALSE)="Mutation_R",0.5*VLOOKUP($E20,TeamT[],15,FALSE),"ERROR")))))))))))))))+IF($AN20="",0,IF($AN20="+AV",10000,IF(OR($AN20="+MA",$AN20="+PA"),20000,IF($AN20="+AG",40000,IF($AN20="+ST",80000,20000*IF(VLOOKUP($AN20,AbilityT[],2,FALSE)="General",VLOOKUP($E20,TeamT[],11,FALSE),IF(VLOOKUP($AN20,AbilityT[],2,FALSE)="Agility",VLOOKUP($E20,TeamT[],12,FALSE),IF(VLOOKUP($AN20,AbilityT[],2,FALSE)="Strength",VLOOKUP($E20,TeamT[],13,FALSE),IF(VLOOKUP($AN20,AbilityT[],2,FALSE)="Passing",VLOOKUP($E20,TeamT[],14,FALSE),IF(VLOOKUP($AN20,AbilityT[],2,FALSE)="Mutation",VLOOKUP($E20,TeamT[],15,FALSE),IF(VLOOKUP($AN20,AbilityT[],2,FALSE)="General_R",0.5*VLOOKUP($E20,TeamT[],11,FALSE),IF(VLOOKUP($AN20,AbilityT[],2,FALSE)="Agility_R",0.5*VLOOKUP($E20,TeamT[],12,FALSE),IF(VLOOKUP($AN20,AbilityT[],2,FALSE)="Strength_R",0.5*VLOOKUP($E20,TeamT[],13,FALSE),IF(VLOOKUP($AN20,AbilityT[],2,FALSE)="Passing_R",0.5*VLOOKUP($E20,TeamT[],14,FALSE),IF(VLOOKUP($AN20,AbilityT[],2,FALSE)="Mutation_R",0.5*VLOOKUP($E20,TeamT[],15,FALSE),"ERROR")))))))))))))))+IF($AO20="",0,IF($AO20="+AV",10000,IF(OR($AO20="+MA",$AO20="+PA"),20000,IF($AO20="+AG",40000,IF($AO20="+ST",80000,20000*IF(VLOOKUP($AO20,AbilityT[],2,FALSE)="General",VLOOKUP($E20,TeamT[],11,FALSE),IF(VLOOKUP($AO20,AbilityT[],2,FALSE)="Agility",VLOOKUP($E20,TeamT[],12,FALSE),IF(VLOOKUP($AO20,AbilityT[],2,FALSE)="Strength",VLOOKUP($E20,TeamT[],13,FALSE),IF(VLOOKUP($AO20,AbilityT[],2,FALSE)="Passing",VLOOKUP($E20,TeamT[],14,FALSE),IF(VLOOKUP($AO20,AbilityT[],2,FALSE)="Mutation",VLOOKUP($E20,TeamT[],15,FALSE),IF(VLOOKUP($AO20,AbilityT[],2,FALSE)="General_R",0.5*VLOOKUP($E20,TeamT[],11,FALSE),IF(VLOOKUP($AO20,AbilityT[],2,FALSE)="Agility_R",0.5*VLOOKUP($E20,TeamT[],12,FALSE),IF(VLOOKUP($AO20,AbilityT[],2,FALSE)="Strength_R",0.5*VLOOKUP($E20,TeamT[],13,FALSE),IF(VLOOKUP($AO20,AbilityT[],2,FALSE)="Passing_R",0.5*VLOOKUP($E20,TeamT[],14,FALSE),IF(VLOOKUP($AO20,AbilityT[],2,FALSE)="Mutation_R",0.5*VLOOKUP($E20,TeamT[],15,FALSE),"ERROR"))))))))))))))))+$AC20)</f>
        <v>0</v>
      </c>
      <c r="AC20" s="191"/>
      <c r="AD20" s="194"/>
      <c r="AE20" s="122"/>
      <c r="AF20" s="123"/>
      <c r="AG20" s="123"/>
      <c r="AH20" s="123"/>
      <c r="AI20" s="124"/>
      <c r="AJ20" s="125"/>
      <c r="AK20" s="125"/>
      <c r="AL20" s="125"/>
      <c r="AM20" s="125"/>
      <c r="AN20" s="125"/>
      <c r="AO20" s="125"/>
      <c r="AP20" s="201"/>
      <c r="BC20" s="1" t="e">
        <f>VLOOKUP($E20,TeamT[],5,FALSE)</f>
        <v>#N/A</v>
      </c>
      <c r="BD20" s="1" t="e">
        <f>VLOOKUP($E20,TeamT[],6,FALSE)</f>
        <v>#N/A</v>
      </c>
      <c r="BE20" s="1" t="e">
        <f>VLOOKUP($E20,TeamT[],19,FALSE)</f>
        <v>#N/A</v>
      </c>
      <c r="BF20" s="1" t="e">
        <f>VLOOKUP($E20,TeamT[],20,FALSE)</f>
        <v>#N/A</v>
      </c>
      <c r="BG20" s="1" t="e">
        <f>VLOOKUP($E20,TeamT[],21,FALSE)</f>
        <v>#N/A</v>
      </c>
    </row>
    <row r="21" spans="2:59" ht="24" customHeight="1" thickBot="1" x14ac:dyDescent="0.2">
      <c r="B21" s="137">
        <f>VLOOKUP($N$28,Razze[],3,FALSE)</f>
        <v>6</v>
      </c>
      <c r="C21" s="138" t="s">
        <v>291</v>
      </c>
      <c r="D21" s="139"/>
      <c r="E21" s="114" t="s">
        <v>29</v>
      </c>
      <c r="F21" s="114" t="s">
        <v>292</v>
      </c>
      <c r="G21" s="154" t="s">
        <v>387</v>
      </c>
      <c r="H21" s="111"/>
      <c r="I21" s="294" t="s">
        <v>390</v>
      </c>
      <c r="J21" s="295"/>
      <c r="K21" s="295"/>
      <c r="L21" s="295"/>
      <c r="M21" s="296"/>
      <c r="N21" s="300" t="str">
        <f>VLOOKUP($N$28,Razze[],5,FALSE)</f>
        <v xml:space="preserve">Old World Classic, Favoured of …., </v>
      </c>
      <c r="O21" s="301"/>
      <c r="P21" s="301"/>
      <c r="Q21" s="301"/>
      <c r="R21" s="301"/>
      <c r="S21" s="207">
        <v>1</v>
      </c>
      <c r="T21" s="262" t="s">
        <v>405</v>
      </c>
      <c r="U21" s="262"/>
      <c r="V21" s="262"/>
      <c r="W21" s="262"/>
      <c r="X21" s="170" t="s">
        <v>375</v>
      </c>
      <c r="Y21" s="263">
        <v>10000</v>
      </c>
      <c r="Z21" s="263"/>
      <c r="AA21" s="170" t="s">
        <v>378</v>
      </c>
      <c r="AB21" s="171">
        <f>IF($O$28="Tournament Setup",IF(S21&lt;1,0,IF($S21&lt;7,$Y21*$S21-10000,"ERROR")),0)</f>
        <v>0</v>
      </c>
      <c r="AC21" s="84"/>
      <c r="AD21" s="31"/>
      <c r="AE21" s="31"/>
      <c r="AF21" s="31"/>
      <c r="AG21" s="31"/>
      <c r="AH21" s="31"/>
      <c r="AI21" s="31"/>
      <c r="AJ21" s="31"/>
      <c r="AK21" s="31"/>
      <c r="AL21" s="31"/>
      <c r="AM21" s="31"/>
      <c r="AN21" s="31"/>
      <c r="AO21" s="31"/>
    </row>
    <row r="22" spans="2:59" ht="24" customHeight="1" thickBot="1" x14ac:dyDescent="0.2">
      <c r="B22" s="132" t="str">
        <f>IF($B$21&gt;0,COUNTIF($E$5:$E$20,$C22)&amp;"/"&amp;VLOOKUP($C22,TeamT[],4,FALSE),"")</f>
        <v>0/12</v>
      </c>
      <c r="C22" s="143" t="str">
        <f>IF(HLOOKUP($N$28,Reces!$Z$3:$BD$27,1,FALSE)&lt;&gt;"",HLOOKUP($N$28,Reces!$Z$3:$BD$27,3,FALSE),"")</f>
        <v>Norse Rider Lineman</v>
      </c>
      <c r="D22" s="141">
        <f t="shared" ref="D22:D32" si="3">COUNTIF($E$5:$E$20,C22)</f>
        <v>0</v>
      </c>
      <c r="E22" s="146">
        <f>IF($B$21&gt;0,VLOOKUP($C22,TeamT[],3,FALSE),"")</f>
        <v>50000</v>
      </c>
      <c r="F22" s="147" t="str">
        <f>IF($B$21&gt;0,VLOOKUP($C22,TeamT[],16,FALSE),"")</f>
        <v>G</v>
      </c>
      <c r="G22" s="155" t="str">
        <f>IF($B$21&gt;0,VLOOKUP($C22,TeamT[],17,FALSE),"")</f>
        <v>AS</v>
      </c>
      <c r="H22" s="112">
        <f>IF($C22&lt;&gt;"",VLOOKUP(C22,TeamT[],4,FALSE),"")</f>
        <v>12</v>
      </c>
      <c r="I22" s="297"/>
      <c r="J22" s="298"/>
      <c r="K22" s="298"/>
      <c r="L22" s="298"/>
      <c r="M22" s="299"/>
      <c r="N22" s="302"/>
      <c r="O22" s="303"/>
      <c r="P22" s="303"/>
      <c r="Q22" s="303"/>
      <c r="R22" s="303"/>
      <c r="S22" s="208">
        <v>2</v>
      </c>
      <c r="T22" s="262" t="s">
        <v>374</v>
      </c>
      <c r="U22" s="262"/>
      <c r="V22" s="262"/>
      <c r="W22" s="262"/>
      <c r="X22" s="170" t="s">
        <v>375</v>
      </c>
      <c r="Y22" s="263">
        <f>VLOOKUP($N$28,Razze[],2)</f>
        <v>60000</v>
      </c>
      <c r="Z22" s="263"/>
      <c r="AA22" s="170" t="s">
        <v>378</v>
      </c>
      <c r="AB22" s="171">
        <f>IF($S22&lt;9,$Y22*$S22,"ERROR")</f>
        <v>120000</v>
      </c>
      <c r="AC22" s="84"/>
      <c r="AD22" s="31"/>
      <c r="AE22" s="31"/>
      <c r="AF22" s="31"/>
      <c r="AG22" s="31"/>
      <c r="AH22" s="31"/>
      <c r="AI22" s="31"/>
      <c r="AJ22" s="31"/>
      <c r="AK22" s="31"/>
      <c r="AL22" s="31"/>
      <c r="AM22" s="31"/>
      <c r="AN22" s="31"/>
      <c r="AO22" s="31"/>
    </row>
    <row r="23" spans="2:59" ht="24" customHeight="1" thickBot="1" x14ac:dyDescent="0.2">
      <c r="B23" s="133" t="str">
        <f>IF($B$21&gt;1,COUNTIF($E$5:$E$20,$C23)&amp;"/"&amp;VLOOKUP($C23,TeamT[],4,FALSE),"")</f>
        <v>0/2</v>
      </c>
      <c r="C23" s="144" t="str">
        <f>IF(HLOOKUP($N$28,Reces!$Z$3:$BD$27,1,FALSE)&lt;&gt;"",HLOOKUP($N$28,Reces!$Z$3:$BD$27,4,FALSE),"")</f>
        <v>Beer Boar</v>
      </c>
      <c r="D23" s="141">
        <f t="shared" si="3"/>
        <v>0</v>
      </c>
      <c r="E23" s="149">
        <f>IF($B$21&gt;1,VLOOKUP($C23,TeamT[],3,FALSE),"")</f>
        <v>20000</v>
      </c>
      <c r="F23" s="150" t="str">
        <f>IF($B$21&gt;1,VLOOKUP($C23,TeamT[],16,FALSE),"")</f>
        <v/>
      </c>
      <c r="G23" s="148" t="str">
        <f>IF($B$21&gt;1,VLOOKUP($C23,TeamT[],17,FALSE),"")</f>
        <v>A</v>
      </c>
      <c r="H23" s="112">
        <f>IF($C23&lt;&gt;"",VLOOKUP(C23,TeamT[],4,FALSE),"")</f>
        <v>2</v>
      </c>
      <c r="I23" s="310" t="s">
        <v>423</v>
      </c>
      <c r="J23" s="311"/>
      <c r="K23" s="311"/>
      <c r="L23" s="311"/>
      <c r="M23" s="312"/>
      <c r="N23" s="304" t="str">
        <f>IF(Reces!$BU$4&lt;&gt;"",Reces!$BU$4,IF(Reces!$BU$5&lt;&gt;"",Reces!$BU$5,IF(Reces!$BU$6&lt;&gt;"",Reces!$BU$6,IF(Reces!$BU$7&lt;&gt;"",Reces!$BU$7,IF(Reces!$BU$8&lt;&gt;"",Reces!$BU$8,IF(Reces!$BU$9&lt;&gt;"",Reces!$BU$9,IF(Reces!$BU$10&lt;&gt;"",Reces!$BU$10,IF(Reces!$BU$11&lt;&gt;"",Reces!$BU$11,IF(Reces!$BU$12&lt;&gt;"",Reces!$BU$12,IF(Reces!$BU$13&lt;&gt;"",Reces!$BU$13,IF(Reces!$BU$14&lt;&gt;"",Reces!$BU$14,IF(Reces!$BU$15&lt;&gt;"",Reces!$BU$15,IF(Reces!$BU$16&lt;&gt;"",Reces!$BU$16,IF(Reces!$BU$17&lt;&gt;"",Reces!$BU$17,IF(Reces!$BU$18&lt;&gt;"",Reces!$BU$18,IF(Reces!$BU$19&lt;&gt;"",Reces!$BU$19,""))))))))))))))))</f>
        <v/>
      </c>
      <c r="O23" s="305"/>
      <c r="P23" s="305"/>
      <c r="Q23" s="305"/>
      <c r="R23" s="306"/>
      <c r="S23" s="207">
        <v>0</v>
      </c>
      <c r="T23" s="262" t="s">
        <v>377</v>
      </c>
      <c r="U23" s="262"/>
      <c r="V23" s="262"/>
      <c r="W23" s="262"/>
      <c r="X23" s="170" t="s">
        <v>375</v>
      </c>
      <c r="Y23" s="263">
        <v>10000</v>
      </c>
      <c r="Z23" s="263"/>
      <c r="AA23" s="170" t="s">
        <v>378</v>
      </c>
      <c r="AB23" s="171">
        <f>IF($S23&lt;7,$Y23*$S23,"ERROR")</f>
        <v>0</v>
      </c>
      <c r="AC23" s="84"/>
      <c r="AD23" s="31"/>
      <c r="AE23" s="31"/>
      <c r="AF23" s="31"/>
      <c r="AG23" s="31"/>
      <c r="AH23" s="31"/>
      <c r="AI23" s="31"/>
      <c r="AJ23" s="31"/>
      <c r="AK23" s="31"/>
      <c r="AL23" s="31"/>
      <c r="AM23" s="31"/>
      <c r="AN23" s="31"/>
      <c r="AO23" s="31"/>
    </row>
    <row r="24" spans="2:59" ht="24" customHeight="1" thickBot="1" x14ac:dyDescent="0.2">
      <c r="B24" s="133" t="str">
        <f>IF($B$21&gt;2,COUNTIF($E$5:$E$20,$C24)&amp;"/"&amp;VLOOKUP($C24,TeamT[],4,FALSE),"")</f>
        <v>0/2</v>
      </c>
      <c r="C24" s="144" t="str">
        <f>IF(HLOOKUP($N$28,Reces!$Z$3:$BD$27,1,FALSE)&lt;&gt;"",HLOOKUP($N$28,Reces!$Z$3:$BD$27,5,FALSE),"")</f>
        <v>Norse Berserker</v>
      </c>
      <c r="D24" s="141">
        <f t="shared" si="3"/>
        <v>0</v>
      </c>
      <c r="E24" s="149">
        <f>IF($B$21&gt;2,VLOOKUP($C24,TeamT[],3,FALSE),"")</f>
        <v>90000</v>
      </c>
      <c r="F24" s="150" t="str">
        <f>IF($B$21&gt;2,VLOOKUP($C24,TeamT[],16,FALSE),"")</f>
        <v>GS</v>
      </c>
      <c r="G24" s="148" t="str">
        <f>IF($B$21&gt;2,VLOOKUP($C24,TeamT[],17,FALSE),"")</f>
        <v>AP</v>
      </c>
      <c r="H24" s="112">
        <f>IF($C24&lt;&gt;"",VLOOKUP(C24,TeamT[],4,FALSE),"")</f>
        <v>2</v>
      </c>
      <c r="I24" s="313"/>
      <c r="J24" s="314"/>
      <c r="K24" s="314"/>
      <c r="L24" s="314"/>
      <c r="M24" s="315"/>
      <c r="N24" s="307"/>
      <c r="O24" s="308"/>
      <c r="P24" s="308"/>
      <c r="Q24" s="308"/>
      <c r="R24" s="309"/>
      <c r="S24" s="208">
        <v>0</v>
      </c>
      <c r="T24" s="262" t="s">
        <v>376</v>
      </c>
      <c r="U24" s="262"/>
      <c r="V24" s="262"/>
      <c r="W24" s="262"/>
      <c r="X24" s="170" t="s">
        <v>375</v>
      </c>
      <c r="Y24" s="263">
        <v>10000</v>
      </c>
      <c r="Z24" s="263"/>
      <c r="AA24" s="170" t="s">
        <v>378</v>
      </c>
      <c r="AB24" s="171">
        <f>IF($S24&lt;13,$Y24*$S24,"ERROR")</f>
        <v>0</v>
      </c>
      <c r="AC24" s="84"/>
      <c r="AD24" s="31"/>
      <c r="AE24" s="31"/>
      <c r="AF24" s="31"/>
      <c r="AG24" s="31"/>
      <c r="AH24" s="31"/>
      <c r="AI24" s="31"/>
      <c r="AJ24" s="31"/>
      <c r="AK24" s="31"/>
      <c r="AL24" s="31"/>
      <c r="AM24" s="31"/>
      <c r="AN24" s="31"/>
      <c r="AO24" s="31"/>
    </row>
    <row r="25" spans="2:59" ht="24" customHeight="1" thickBot="1" x14ac:dyDescent="0.2">
      <c r="B25" s="133" t="str">
        <f>IF($B$21&gt;3,COUNTIF($E$5:$E$20,$C25)&amp;"/"&amp;VLOOKUP($C25,TeamT[],4,FALSE),"")</f>
        <v>0/2</v>
      </c>
      <c r="C25" s="144" t="str">
        <f>IF(HLOOKUP($N$28,Reces!$Z$3:$BD$27,1,FALSE)&lt;&gt;"",HLOOKUP($N$28,Reces!$Z$3:$BD$27,6,FALSE),"")</f>
        <v>Valkyrie</v>
      </c>
      <c r="D25" s="141">
        <f t="shared" si="3"/>
        <v>0</v>
      </c>
      <c r="E25" s="149">
        <f>IF($B$21&gt;3,VLOOKUP($C25,TeamT[],3,FALSE),"")</f>
        <v>95000</v>
      </c>
      <c r="F25" s="150" t="str">
        <f>IF($B$21&gt;3,VLOOKUP($C25,TeamT[],16,FALSE),"")</f>
        <v>GAP</v>
      </c>
      <c r="G25" s="148" t="str">
        <f>IF($B$21&gt;3,VLOOKUP($C25,TeamT[],17,FALSE),"")</f>
        <v>S</v>
      </c>
      <c r="H25" s="112">
        <f>IF($C25&lt;&gt;"",VLOOKUP(C25,TeamT[],4,FALSE),"")</f>
        <v>2</v>
      </c>
      <c r="I25" s="310" t="s">
        <v>423</v>
      </c>
      <c r="J25" s="311"/>
      <c r="K25" s="311"/>
      <c r="L25" s="311"/>
      <c r="M25" s="312"/>
      <c r="N25" s="304" t="str">
        <f>IF(AND(Reces!$BU$4&lt;&gt;"",$N$23&lt;&gt;Reces!$BU$4),Reces!$BU$4,IF(AND(Reces!$BU$5&lt;&gt;"",$N$23&lt;&gt;Reces!$BU$5),Reces!$BU$5,IF(AND(Reces!$BU$6&lt;&gt;"",$N$23&lt;&gt;Reces!$BU$6),Reces!$BU$6,IF(AND(Reces!$BU$7&lt;&gt;"",$N$23&lt;&gt;Reces!$BU$7),Reces!$BU$7,IF(AND(Reces!$BU$8&lt;&gt;"",$N$23&lt;&gt;Reces!$BU$8),Reces!$BU$8,IF(AND(Reces!$BU$9&lt;&gt;"",$N$23&lt;&gt;Reces!$BU$9),Reces!$BU$9,IF(AND(Reces!$BU$10&lt;&gt;"",$N$23&lt;&gt;Reces!$BU$10),Reces!$BU$10,IF(AND(Reces!$BU$11&lt;&gt;"",$N$23&lt;&gt;Reces!$BU$11),Reces!$BU$11,IF(AND(Reces!$BU$12&lt;&gt;"",$N$23&lt;&gt;Reces!$BU$12),Reces!$BU$12,IF(AND(Reces!$BU$13&lt;&gt;"",$N$23&lt;&gt;Reces!$BU$13),Reces!$BU$13,IF(AND(Reces!$BU$14&lt;&gt;"",$N$23&lt;&gt;Reces!$BU$14),Reces!$BU$14,IF(AND(Reces!$BU$15&lt;&gt;"",$N$23&lt;&gt;Reces!$BU$15),Reces!$BU$15,IF(AND(Reces!$BU$16&lt;&gt;"",$N$23&lt;&gt;Reces!$BU$16),Reces!$BU$16,IF(AND(Reces!$BU$17&lt;&gt;"",$N$23&lt;&gt;Reces!$BU$17),Reces!$BU$17,IF(AND(Reces!$BU$18&lt;&gt;"",$N$23&lt;&gt;Reces!$BU$18),Reces!$BU$18,IF(AND(Reces!$BU$19&lt;&gt;"",$N$23&lt;&gt;Reces!$BU$19),Reces!$BU$19,""))))))))))))))))</f>
        <v/>
      </c>
      <c r="O25" s="305"/>
      <c r="P25" s="305"/>
      <c r="Q25" s="305"/>
      <c r="R25" s="306"/>
      <c r="S25" s="208">
        <v>0</v>
      </c>
      <c r="T25" s="262" t="str">
        <f>IF(VLOOKUP($N$28,Razze[],4,FALSE)="Y","Apothecary","")</f>
        <v>Apothecary</v>
      </c>
      <c r="U25" s="262"/>
      <c r="V25" s="262"/>
      <c r="W25" s="262"/>
      <c r="X25" s="170" t="str">
        <f>IF(VLOOKUP($N$28,Razze[],4,FALSE)="Y","x","")</f>
        <v>x</v>
      </c>
      <c r="Y25" s="263">
        <f>IF(VLOOKUP($N$28,Razze[],4,FALSE)="Y",50000,0)</f>
        <v>50000</v>
      </c>
      <c r="Z25" s="263"/>
      <c r="AA25" s="170" t="str">
        <f>IF(VLOOKUP($N$28,Razze[],4,FALSE)="Y","=","")</f>
        <v>=</v>
      </c>
      <c r="AB25" s="171">
        <f>IF($S25&lt;2,$Y25*$S25,"ERROR")</f>
        <v>0</v>
      </c>
      <c r="AC25" s="86"/>
      <c r="AD25" s="31"/>
      <c r="AE25" s="31"/>
      <c r="AF25" s="31"/>
      <c r="AG25" s="31"/>
      <c r="AH25" s="31"/>
      <c r="AI25" s="31"/>
      <c r="AJ25" s="31"/>
      <c r="AK25" s="31"/>
      <c r="AL25" s="31"/>
      <c r="AM25" s="31"/>
      <c r="AN25" s="31"/>
      <c r="AO25" s="31"/>
    </row>
    <row r="26" spans="2:59" ht="24" customHeight="1" thickBot="1" x14ac:dyDescent="0.3">
      <c r="B26" s="133" t="str">
        <f>IF($B$21&gt;4,COUNTIF($E$5:$E$20,$C26)&amp;"/"&amp;VLOOKUP($C26,TeamT[],4,FALSE),"")</f>
        <v>0/2</v>
      </c>
      <c r="C26" s="144" t="str">
        <f>IF(HLOOKUP($N$28,Reces!$Z$3:$BD$27,1,FALSE)&lt;&gt;"",HLOOKUP($N$28,Reces!$Z$3:$BD$27,7,FALSE),"")</f>
        <v>Ulfwerener</v>
      </c>
      <c r="D26" s="141">
        <f t="shared" si="3"/>
        <v>0</v>
      </c>
      <c r="E26" s="149">
        <f>IF($B$21&gt;4,VLOOKUP($C26,TeamT[],3,FALSE),"")</f>
        <v>105000</v>
      </c>
      <c r="F26" s="150" t="str">
        <f>IF($B$21&gt;4,VLOOKUP($C26,TeamT[],16,FALSE),"")</f>
        <v>GS</v>
      </c>
      <c r="G26" s="148" t="str">
        <f>IF($B$21&gt;4,VLOOKUP($C26,TeamT[],17,FALSE),"")</f>
        <v>A</v>
      </c>
      <c r="H26" s="112">
        <f>IF($C26&lt;&gt;"",VLOOKUP(C26,TeamT[],4,FALSE),"")</f>
        <v>2</v>
      </c>
      <c r="I26" s="313"/>
      <c r="J26" s="314"/>
      <c r="K26" s="314"/>
      <c r="L26" s="314"/>
      <c r="M26" s="315"/>
      <c r="N26" s="307"/>
      <c r="O26" s="308"/>
      <c r="P26" s="308"/>
      <c r="Q26" s="308"/>
      <c r="R26" s="309"/>
      <c r="S26" s="341" t="s">
        <v>568</v>
      </c>
      <c r="T26" s="342"/>
      <c r="U26" s="342"/>
      <c r="V26" s="343"/>
      <c r="W26" s="343"/>
      <c r="X26" s="343"/>
      <c r="Y26" s="343"/>
      <c r="Z26" s="343"/>
      <c r="AA26" s="343"/>
      <c r="AB26" s="344"/>
      <c r="AC26" s="85"/>
      <c r="AD26" s="31"/>
      <c r="AE26" s="31"/>
      <c r="AF26" s="31"/>
      <c r="AG26" s="31"/>
      <c r="AH26" s="31"/>
      <c r="AI26" s="31"/>
      <c r="AJ26" s="31"/>
      <c r="AK26" s="31"/>
      <c r="AL26" s="31"/>
      <c r="AM26" s="31"/>
      <c r="AN26" s="31"/>
      <c r="AO26" s="31"/>
    </row>
    <row r="27" spans="2:59" ht="24" customHeight="1" thickBot="1" x14ac:dyDescent="0.2">
      <c r="B27" s="133" t="str">
        <f>IF($B$21&gt;5,COUNTIF($E$5:$E$20,$C27)&amp;"/"&amp;VLOOKUP($C27,TeamT[],4,FALSE),"")</f>
        <v>0/1</v>
      </c>
      <c r="C27" s="144" t="str">
        <f>IF(HLOOKUP($N$28,Reces!$Z$3:$BD$27,1,FALSE)&lt;&gt;"",HLOOKUP($N$28,Reces!$Z$3:$BD$27,8,FALSE),"")</f>
        <v>Yhetee</v>
      </c>
      <c r="D27" s="141">
        <f t="shared" si="3"/>
        <v>0</v>
      </c>
      <c r="E27" s="149">
        <f>IF($B$21&gt;5,VLOOKUP($C27,TeamT[],3,FALSE),"")</f>
        <v>140000</v>
      </c>
      <c r="F27" s="150" t="str">
        <f>IF($B$21&gt;5,VLOOKUP($C27,TeamT[],16,FALSE),"")</f>
        <v>S</v>
      </c>
      <c r="G27" s="148" t="str">
        <f>IF($B$21&gt;5,VLOOKUP($C27,TeamT[],17,FALSE),"")</f>
        <v>GA</v>
      </c>
      <c r="H27" s="112">
        <f>IF($C27&lt;&gt;"",VLOOKUP(C27,TeamT[],4,FALSE),"")</f>
        <v>1</v>
      </c>
      <c r="I27" s="291" t="s">
        <v>379</v>
      </c>
      <c r="J27" s="292"/>
      <c r="K27" s="292"/>
      <c r="L27" s="292"/>
      <c r="M27" s="292"/>
      <c r="N27" s="321"/>
      <c r="O27" s="322"/>
      <c r="P27" s="322"/>
      <c r="Q27" s="322"/>
      <c r="R27" s="322"/>
      <c r="S27" s="349" t="s">
        <v>569</v>
      </c>
      <c r="T27" s="350"/>
      <c r="U27" s="351"/>
      <c r="V27" s="345"/>
      <c r="W27" s="345"/>
      <c r="X27" s="345"/>
      <c r="Y27" s="345"/>
      <c r="Z27" s="345"/>
      <c r="AA27" s="345"/>
      <c r="AB27" s="346"/>
      <c r="AC27" s="85"/>
      <c r="AD27" s="31"/>
      <c r="AE27" s="316"/>
      <c r="AF27" s="316"/>
      <c r="AG27" s="316"/>
      <c r="AH27" s="316"/>
      <c r="AI27" s="31"/>
      <c r="AJ27" s="31"/>
      <c r="AK27" s="31"/>
      <c r="AL27" s="31"/>
      <c r="AM27" s="31"/>
      <c r="AN27" s="31"/>
      <c r="AO27" s="31"/>
    </row>
    <row r="28" spans="2:59" ht="24" customHeight="1" thickBot="1" x14ac:dyDescent="0.2">
      <c r="B28" s="133" t="str">
        <f>IF($B$21&gt;6,COUNTIF($E$5:$E$20,$C28)&amp;"/"&amp;VLOOKUP($C28,TeamT[],4,FALSE),"")</f>
        <v/>
      </c>
      <c r="C28" s="144" t="str">
        <f>IF(HLOOKUP($N$28,Reces!$Z$3:$BD$27,1,FALSE)&lt;&gt;"",HLOOKUP($N$28,Reces!$Z$3:$BD$27,9,FALSE),"")</f>
        <v>Norse Rider Journeyman</v>
      </c>
      <c r="D28" s="141">
        <f t="shared" si="3"/>
        <v>0</v>
      </c>
      <c r="E28" s="149" t="str">
        <f>IF($B$21&gt;6,VLOOKUP($C28,TeamT[],3,FALSE),"")</f>
        <v/>
      </c>
      <c r="F28" s="150" t="str">
        <f>IF($B$21&gt;6,VLOOKUP($C28,TeamT[],16,FALSE),"")</f>
        <v/>
      </c>
      <c r="G28" s="148" t="str">
        <f>IF($B$21&gt;6,VLOOKUP($C28,TeamT[],17,FALSE),"")</f>
        <v/>
      </c>
      <c r="H28" s="112">
        <f>IF($C28&lt;&gt;"",VLOOKUP(C28,TeamT[],4,FALSE),"")</f>
        <v>11</v>
      </c>
      <c r="I28" s="291" t="s">
        <v>28</v>
      </c>
      <c r="J28" s="292"/>
      <c r="K28" s="292"/>
      <c r="L28" s="292"/>
      <c r="M28" s="293"/>
      <c r="N28" s="223" t="s">
        <v>591</v>
      </c>
      <c r="O28" s="224" t="s">
        <v>572</v>
      </c>
      <c r="P28" s="319"/>
      <c r="Q28" s="319"/>
      <c r="R28" s="320"/>
      <c r="S28" s="352" t="s">
        <v>643</v>
      </c>
      <c r="T28" s="353"/>
      <c r="U28" s="354"/>
      <c r="V28" s="345"/>
      <c r="W28" s="345"/>
      <c r="X28" s="345"/>
      <c r="Y28" s="345"/>
      <c r="Z28" s="345"/>
      <c r="AA28" s="345"/>
      <c r="AB28" s="346"/>
      <c r="AC28" s="85"/>
      <c r="AD28" s="31"/>
      <c r="AE28" s="316"/>
      <c r="AF28" s="316"/>
      <c r="AG28" s="316"/>
      <c r="AH28" s="316"/>
      <c r="AI28" s="31"/>
      <c r="AJ28" s="31"/>
      <c r="AK28" s="31"/>
      <c r="AL28" s="31"/>
      <c r="AM28" s="31"/>
      <c r="AN28" s="31"/>
      <c r="AO28" s="31"/>
    </row>
    <row r="29" spans="2:59" ht="24" customHeight="1" thickBot="1" x14ac:dyDescent="0.25">
      <c r="B29" s="133" t="str">
        <f>IF($B$21&gt;7,COUNTIF($E$5:$E$20,$C29)&amp;"/"&amp;VLOOKUP($C29,TeamT[],4,FALSE),"")</f>
        <v/>
      </c>
      <c r="C29" s="144" t="str">
        <f>IF(HLOOKUP($N$28,Reces!$Z$3:$BD$27,1,FALSE)&lt;&gt;"",HLOOKUP($N$28,Reces!$Z$3:$BD$27,10,FALSE),"")</f>
        <v>*Akhorne the Squirrel</v>
      </c>
      <c r="D29" s="141">
        <f t="shared" si="3"/>
        <v>0</v>
      </c>
      <c r="E29" s="149" t="str">
        <f>IF($B$21&gt;7,VLOOKUP($C29,TeamT[],3,FALSE),"")</f>
        <v/>
      </c>
      <c r="F29" s="150" t="str">
        <f>IF($B$21&gt;7,VLOOKUP($C29,TeamT[],16,FALSE),"")</f>
        <v/>
      </c>
      <c r="G29" s="148" t="str">
        <f>IF($B$21&gt;7,VLOOKUP($C29,TeamT[],17,FALSE),"")</f>
        <v/>
      </c>
      <c r="H29" s="112">
        <f>IF($C29&lt;&gt;"",VLOOKUP(C29,TeamT[],4,FALSE),"")</f>
        <v>1</v>
      </c>
      <c r="I29" s="291" t="s">
        <v>290</v>
      </c>
      <c r="J29" s="292"/>
      <c r="K29" s="292"/>
      <c r="L29" s="292"/>
      <c r="M29" s="293"/>
      <c r="N29" s="140"/>
      <c r="O29" s="323" t="str">
        <f>IF(N29="Quercio","AKA Iscariota e Primogenito di Barabba","")</f>
        <v/>
      </c>
      <c r="P29" s="323"/>
      <c r="Q29" s="323"/>
      <c r="R29" s="324"/>
      <c r="S29" s="352" t="s">
        <v>623</v>
      </c>
      <c r="T29" s="353"/>
      <c r="U29" s="354"/>
      <c r="V29" s="345"/>
      <c r="W29" s="345"/>
      <c r="X29" s="345"/>
      <c r="Y29" s="345"/>
      <c r="Z29" s="345"/>
      <c r="AA29" s="345"/>
      <c r="AB29" s="346"/>
      <c r="AC29" s="85"/>
      <c r="AD29" s="31"/>
      <c r="AE29" s="316"/>
      <c r="AF29" s="316"/>
      <c r="AG29" s="316"/>
      <c r="AH29" s="316"/>
      <c r="AI29" s="31"/>
      <c r="AJ29" s="31"/>
      <c r="AK29" s="31"/>
      <c r="AL29" s="31"/>
      <c r="AM29" s="31"/>
      <c r="AN29" s="31"/>
      <c r="AO29" s="31"/>
    </row>
    <row r="30" spans="2:59" ht="24" customHeight="1" thickBot="1" x14ac:dyDescent="0.35">
      <c r="B30" s="133" t="str">
        <f>IF($B$21&gt;8,COUNTIF($E$5:$E$20,$C30)&amp;"/"&amp;VLOOKUP($C30,TeamT[],4,FALSE),"")</f>
        <v/>
      </c>
      <c r="C30" s="144" t="str">
        <f>IF(HLOOKUP($N$28,Reces!$Z$3:$BD$27,1,FALSE)&lt;&gt;"",HLOOKUP($N$28,Reces!$Z$3:$BD$27,11,FALSE),"")</f>
        <v>*Barik Farblast</v>
      </c>
      <c r="D30" s="141">
        <f t="shared" si="3"/>
        <v>0</v>
      </c>
      <c r="E30" s="149" t="str">
        <f>IF($B$21&gt;8,VLOOKUP($C30,TeamT[],3,FALSE),"")</f>
        <v/>
      </c>
      <c r="F30" s="150" t="str">
        <f>IF($B$21&gt;8,VLOOKUP($C30,TeamT[],16,FALSE),"")</f>
        <v/>
      </c>
      <c r="G30" s="148" t="str">
        <f>IF($B$21&gt;8,VLOOKUP($C30,TeamT[],17,FALSE),"")</f>
        <v/>
      </c>
      <c r="H30" s="112">
        <f>IF($C30&lt;&gt;"",VLOOKUP(C30,TeamT[],4,FALSE),"")</f>
        <v>1</v>
      </c>
      <c r="I30" s="291" t="s">
        <v>381</v>
      </c>
      <c r="J30" s="292"/>
      <c r="K30" s="292"/>
      <c r="L30" s="292"/>
      <c r="M30" s="293"/>
      <c r="N30" s="256">
        <f>QUOTIENT(SUM($AB$21:$AB$25,$AB$5:$AB$20),1000)+IF($O$28="Tournament Setup",0,IF($O$28="League Setup",-15*COUNTIF($E$5:$G$20,"Gnoblar Lineman")-15*COUNTIF($E$5:$G$20,"Gnoblar Journeyman")-15*COUNTIF($E$5:$G$20,"Snotling Lineman")-15*COUNTIF($E$5:$G$20,"Snotling Journeyman")))-(IF($P$5&lt;&gt;"",$AB$5,0)/1000)-(IF($P$6&lt;&gt;"",$AB$6,0)/1000)-(IF($P$7&lt;&gt;"",$AB$7,0)/1000)-(IF($P$8&lt;&gt;"",$AB$8,0)/1000)-(IF($P$9&lt;&gt;"",$AB$9,0)/1000)-(IF($P$10&lt;&gt;"",$AB$10,0)/1000)-(IF($P$11&lt;&gt;"",$AB$11,0)/1000)-(IF($P$12&lt;&gt;"",$AB$12,0)/1000)-(IF($P$13&lt;&gt;"",$AB$13,0)/1000)-(IF($P$14&lt;&gt;"",$AB$14,0)/1000)-(IF($P$15&lt;&gt;"",$AB$15,0)/1000)-(IF($P$16&lt;&gt;"",$AB$16,0)/1000)-(IF($P$17&lt;&gt;"",$AB$17,0)/1000)-(IF($P$18&lt;&gt;"",$AB$18,0)/1000)-(IF($P$19&lt;&gt;"",$AB$19,0)/1000)-(IF($P$20&lt;&gt;"",$AB$20,0)/1000)</f>
        <v>120</v>
      </c>
      <c r="O30" s="329" t="s">
        <v>382</v>
      </c>
      <c r="P30" s="329"/>
      <c r="Q30" s="329"/>
      <c r="R30" s="330"/>
      <c r="S30" s="352" t="s">
        <v>644</v>
      </c>
      <c r="T30" s="353"/>
      <c r="U30" s="354"/>
      <c r="V30" s="345"/>
      <c r="W30" s="345"/>
      <c r="X30" s="345"/>
      <c r="Y30" s="345"/>
      <c r="Z30" s="345"/>
      <c r="AA30" s="345"/>
      <c r="AB30" s="346"/>
      <c r="AC30" s="85"/>
      <c r="AD30" s="31"/>
      <c r="AE30" s="316"/>
      <c r="AF30" s="316"/>
      <c r="AG30" s="316"/>
      <c r="AH30" s="316"/>
      <c r="AI30" s="31"/>
      <c r="AJ30" s="31"/>
      <c r="AK30" s="31"/>
      <c r="AL30" s="31"/>
      <c r="AM30" s="31"/>
      <c r="AN30" s="31"/>
      <c r="AO30" s="31"/>
    </row>
    <row r="31" spans="2:59" ht="24" customHeight="1" thickBot="1" x14ac:dyDescent="0.35">
      <c r="B31" s="133" t="str">
        <f>IF($B$21&gt;9,COUNTIF($E$5:$E$20,$C31)&amp;"/"&amp;VLOOKUP($C31,TeamT[],4,FALSE),"")</f>
        <v/>
      </c>
      <c r="C31" s="144" t="str">
        <f>IF(HLOOKUP($N$28,Reces!$Z$3:$BD$27,1,FALSE)&lt;&gt;"",HLOOKUP($N$28,Reces!$Z$3:$BD$27,12,FALSE),"")</f>
        <v>*Max Spleenripper</v>
      </c>
      <c r="D31" s="141">
        <f t="shared" si="3"/>
        <v>0</v>
      </c>
      <c r="E31" s="149" t="str">
        <f>IF($B$21&gt;9,VLOOKUP($C31,TeamT[],3,FALSE),"")</f>
        <v/>
      </c>
      <c r="F31" s="150" t="str">
        <f>IF($B$21&gt;9,VLOOKUP($C31,TeamT[],16,FALSE),"")</f>
        <v/>
      </c>
      <c r="G31" s="148" t="str">
        <f>IF($B$21&gt;9,VLOOKUP($C31,TeamT[],17,FALSE),"")</f>
        <v/>
      </c>
      <c r="H31" s="112">
        <f>IF($C31&lt;&gt;"",VLOOKUP(C31,TeamT[],4,FALSE),"")</f>
        <v>1</v>
      </c>
      <c r="I31" s="291" t="s">
        <v>380</v>
      </c>
      <c r="J31" s="292"/>
      <c r="K31" s="292"/>
      <c r="L31" s="292"/>
      <c r="M31" s="293"/>
      <c r="N31" s="202"/>
      <c r="O31" s="329" t="s">
        <v>382</v>
      </c>
      <c r="P31" s="329"/>
      <c r="Q31" s="329"/>
      <c r="R31" s="330"/>
      <c r="S31" s="352" t="s">
        <v>646</v>
      </c>
      <c r="T31" s="353"/>
      <c r="U31" s="354"/>
      <c r="V31" s="345"/>
      <c r="W31" s="345"/>
      <c r="X31" s="345"/>
      <c r="Y31" s="345"/>
      <c r="Z31" s="345"/>
      <c r="AA31" s="345"/>
      <c r="AB31" s="346"/>
      <c r="AC31" s="85"/>
      <c r="AD31" s="31"/>
      <c r="AE31" s="316"/>
      <c r="AF31" s="316"/>
      <c r="AG31" s="316"/>
      <c r="AH31" s="316"/>
      <c r="AI31" s="31"/>
      <c r="AJ31" s="31"/>
      <c r="AK31" s="31"/>
      <c r="AL31" s="31"/>
      <c r="AM31" s="31"/>
      <c r="AN31" s="31"/>
      <c r="AO31" s="31"/>
    </row>
    <row r="32" spans="2:59" ht="24" customHeight="1" thickBot="1" x14ac:dyDescent="0.2">
      <c r="B32" s="134" t="str">
        <f>IF($B$21&gt;10,COUNTIF($E$5:$E$20,$C32)&amp;"/"&amp;VLOOKUP($C32,TeamT[],4,FALSE),"")</f>
        <v/>
      </c>
      <c r="C32" s="145" t="str">
        <f>IF(HLOOKUP($N$28,Reces!$Z$3:$BD$27,1,FALSE)&lt;&gt;"",HLOOKUP($N$28,Reces!$Z$3:$BD$27,13,FALSE),"")</f>
        <v>*Helmut Wulf</v>
      </c>
      <c r="D32" s="142">
        <f t="shared" si="3"/>
        <v>0</v>
      </c>
      <c r="E32" s="151" t="str">
        <f>IF($B$21&gt;10,VLOOKUP($C32,TeamT[],3,FALSE),"")</f>
        <v/>
      </c>
      <c r="F32" s="152" t="str">
        <f>IF($B$21&gt;10,VLOOKUP($C32,TeamT[],16,FALSE),"")</f>
        <v/>
      </c>
      <c r="G32" s="153" t="str">
        <f>IF($B$21&gt;10,VLOOKUP($C32,TeamT[],17,FALSE),"")</f>
        <v/>
      </c>
      <c r="H32" s="113">
        <f>IF($C32&lt;&gt;"",VLOOKUP(C32,TeamT[],4,FALSE),"")</f>
        <v>1</v>
      </c>
      <c r="I32" s="68"/>
      <c r="J32" s="169"/>
      <c r="K32" s="126" t="s">
        <v>567</v>
      </c>
      <c r="L32" s="127"/>
      <c r="M32" s="127"/>
      <c r="N32" s="128"/>
      <c r="O32" s="331"/>
      <c r="P32" s="331"/>
      <c r="Q32" s="331"/>
      <c r="R32" s="332"/>
      <c r="S32" s="355" t="s">
        <v>645</v>
      </c>
      <c r="T32" s="356"/>
      <c r="U32" s="357"/>
      <c r="V32" s="347"/>
      <c r="W32" s="347"/>
      <c r="X32" s="347"/>
      <c r="Y32" s="347"/>
      <c r="Z32" s="347"/>
      <c r="AA32" s="347"/>
      <c r="AB32" s="348"/>
      <c r="AC32" s="85"/>
      <c r="AD32" s="31"/>
      <c r="AE32" s="316"/>
      <c r="AF32" s="316"/>
      <c r="AG32" s="316"/>
      <c r="AH32" s="316"/>
      <c r="AI32" s="31"/>
      <c r="AJ32" s="31"/>
      <c r="AK32" s="31"/>
      <c r="AL32" s="31"/>
      <c r="AM32" s="31"/>
      <c r="AN32" s="31"/>
      <c r="AO32" s="31"/>
    </row>
    <row r="33" spans="2:41" x14ac:dyDescent="0.15">
      <c r="B33" s="135"/>
      <c r="C33" s="13"/>
      <c r="D33" s="12"/>
      <c r="E33" s="14"/>
      <c r="F33" s="14"/>
      <c r="G33" s="14"/>
      <c r="H33" s="12"/>
      <c r="P33" s="31"/>
      <c r="Q33" s="31"/>
      <c r="R33" s="31"/>
      <c r="S33" s="31"/>
      <c r="T33" s="31"/>
      <c r="U33" s="31"/>
      <c r="V33" s="31"/>
      <c r="W33" s="31"/>
      <c r="X33" s="31"/>
      <c r="Y33" s="31"/>
      <c r="Z33" s="31"/>
      <c r="AA33" s="31"/>
      <c r="AB33" s="31"/>
      <c r="AC33" s="31"/>
      <c r="AD33" s="31"/>
      <c r="AE33" s="316"/>
      <c r="AF33" s="316"/>
      <c r="AG33" s="316"/>
      <c r="AH33" s="316"/>
      <c r="AI33" s="31"/>
      <c r="AJ33" s="31"/>
      <c r="AK33" s="31"/>
      <c r="AL33" s="31"/>
      <c r="AM33" s="31"/>
      <c r="AN33" s="31"/>
      <c r="AO33" s="31"/>
    </row>
    <row r="34" spans="2:41" ht="20.25" customHeight="1" x14ac:dyDescent="0.15">
      <c r="B34" s="136"/>
      <c r="C34" s="31"/>
      <c r="D34" s="33"/>
      <c r="E34" s="34"/>
      <c r="F34" s="34"/>
      <c r="G34" s="35"/>
      <c r="H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sheetData>
  <sheetProtection algorithmName="SHA-512" hashValue="zG3hDlMfk2pZUfpHQTyQhDX/0Pi9kllFF1t48jLzajHtJMl9z3tXxXTPesZ+BVm0rzUkwT7cbSQ3TtLYDd97YA==" saltValue="YQj5iH4GXrOrZaMTs1EMCw==" spinCount="100000" sheet="1" objects="1" scenarios="1"/>
  <mergeCells count="87">
    <mergeCell ref="R3:R4"/>
    <mergeCell ref="AA3:AA4"/>
    <mergeCell ref="AB3:AB4"/>
    <mergeCell ref="S26:U26"/>
    <mergeCell ref="V26:AB32"/>
    <mergeCell ref="S27:U27"/>
    <mergeCell ref="S28:U28"/>
    <mergeCell ref="S29:U29"/>
    <mergeCell ref="S30:U30"/>
    <mergeCell ref="S31:U31"/>
    <mergeCell ref="S32:U32"/>
    <mergeCell ref="V3:V4"/>
    <mergeCell ref="W3:W4"/>
    <mergeCell ref="X3:X4"/>
    <mergeCell ref="Y3:Y4"/>
    <mergeCell ref="Z3:Z4"/>
    <mergeCell ref="AP3:AP4"/>
    <mergeCell ref="P28:R28"/>
    <mergeCell ref="AE32:AH32"/>
    <mergeCell ref="N27:R27"/>
    <mergeCell ref="O29:R29"/>
    <mergeCell ref="N3:N4"/>
    <mergeCell ref="O3:O4"/>
    <mergeCell ref="P3:P4"/>
    <mergeCell ref="Q3:Q4"/>
    <mergeCell ref="O30:R30"/>
    <mergeCell ref="O31:R31"/>
    <mergeCell ref="O32:R32"/>
    <mergeCell ref="AC3:AC4"/>
    <mergeCell ref="S3:S4"/>
    <mergeCell ref="T3:T4"/>
    <mergeCell ref="U3:U4"/>
    <mergeCell ref="AE33:AH33"/>
    <mergeCell ref="AE27:AH27"/>
    <mergeCell ref="AE28:AH28"/>
    <mergeCell ref="AE29:AH29"/>
    <mergeCell ref="AE30:AH30"/>
    <mergeCell ref="AE31:AH31"/>
    <mergeCell ref="I21:M22"/>
    <mergeCell ref="N21:R22"/>
    <mergeCell ref="N23:R24"/>
    <mergeCell ref="N25:R26"/>
    <mergeCell ref="I23:M24"/>
    <mergeCell ref="I25:M26"/>
    <mergeCell ref="I29:M29"/>
    <mergeCell ref="I30:M30"/>
    <mergeCell ref="I31:M31"/>
    <mergeCell ref="I27:M27"/>
    <mergeCell ref="I28:M28"/>
    <mergeCell ref="I3:M3"/>
    <mergeCell ref="C3:C4"/>
    <mergeCell ref="B3:B4"/>
    <mergeCell ref="D3:H4"/>
    <mergeCell ref="E5:G5"/>
    <mergeCell ref="E6:G6"/>
    <mergeCell ref="E7:G7"/>
    <mergeCell ref="E8:G8"/>
    <mergeCell ref="E9:G9"/>
    <mergeCell ref="E10:G10"/>
    <mergeCell ref="E11:G11"/>
    <mergeCell ref="E12:G12"/>
    <mergeCell ref="E13:G13"/>
    <mergeCell ref="E14:G14"/>
    <mergeCell ref="E15:G15"/>
    <mergeCell ref="AM3:AM4"/>
    <mergeCell ref="AN3:AN4"/>
    <mergeCell ref="AO3:AO4"/>
    <mergeCell ref="AD3:AD4"/>
    <mergeCell ref="AE3:AI3"/>
    <mergeCell ref="AJ3:AJ4"/>
    <mergeCell ref="AK3:AK4"/>
    <mergeCell ref="AL3:AL4"/>
    <mergeCell ref="E16:G16"/>
    <mergeCell ref="E17:G17"/>
    <mergeCell ref="E18:G18"/>
    <mergeCell ref="E19:G19"/>
    <mergeCell ref="E20:G20"/>
    <mergeCell ref="T25:W25"/>
    <mergeCell ref="Y21:Z21"/>
    <mergeCell ref="Y22:Z22"/>
    <mergeCell ref="Y23:Z23"/>
    <mergeCell ref="Y24:Z24"/>
    <mergeCell ref="Y25:Z25"/>
    <mergeCell ref="T21:W21"/>
    <mergeCell ref="T22:W22"/>
    <mergeCell ref="T23:W23"/>
    <mergeCell ref="T24:W24"/>
  </mergeCells>
  <phoneticPr fontId="6" type="noConversion"/>
  <conditionalFormatting sqref="B22:G33 E5:E20">
    <cfRule type="expression" dxfId="115" priority="55">
      <formula>$D5&gt;$H5</formula>
    </cfRule>
  </conditionalFormatting>
  <conditionalFormatting sqref="I5:N20">
    <cfRule type="expression" dxfId="114" priority="53">
      <formula>$E5=""</formula>
    </cfRule>
  </conditionalFormatting>
  <conditionalFormatting sqref="N6:N20">
    <cfRule type="expression" dxfId="113" priority="52">
      <formula>$N6=0</formula>
    </cfRule>
  </conditionalFormatting>
  <conditionalFormatting sqref="BC5:BG20">
    <cfRule type="expression" dxfId="112" priority="43">
      <formula>$D5&gt;$H5</formula>
    </cfRule>
  </conditionalFormatting>
  <conditionalFormatting sqref="BC5:BG20">
    <cfRule type="expression" dxfId="111" priority="42">
      <formula>$E5=""</formula>
    </cfRule>
  </conditionalFormatting>
  <conditionalFormatting sqref="BC5:BC20">
    <cfRule type="expression" dxfId="110" priority="41">
      <formula>"$F$5&gt;CERCA.VERT($D5;TeamTable;5;FALSO)"</formula>
    </cfRule>
  </conditionalFormatting>
  <conditionalFormatting sqref="BC5:BC20">
    <cfRule type="expression" priority="40">
      <formula>"&gt;=cerca.vert($d5;TeamTable;5;FALSO)"</formula>
    </cfRule>
  </conditionalFormatting>
  <conditionalFormatting sqref="I5:I20">
    <cfRule type="cellIs" dxfId="109" priority="36" operator="lessThanOrEqual">
      <formula>$BC5-1</formula>
    </cfRule>
    <cfRule type="cellIs" dxfId="108" priority="38" stopIfTrue="1" operator="greaterThan">
      <formula>$BC5</formula>
    </cfRule>
  </conditionalFormatting>
  <conditionalFormatting sqref="J5:J20">
    <cfRule type="cellIs" dxfId="107" priority="35" operator="lessThanOrEqual">
      <formula>$BD5-1</formula>
    </cfRule>
    <cfRule type="cellIs" dxfId="106" priority="37" operator="greaterThanOrEqual">
      <formula>$BD5+1</formula>
    </cfRule>
  </conditionalFormatting>
  <conditionalFormatting sqref="L5:L20">
    <cfRule type="cellIs" dxfId="105" priority="32" operator="lessThanOrEqual">
      <formula>$BF5-1</formula>
    </cfRule>
    <cfRule type="cellIs" dxfId="104" priority="34" operator="greaterThanOrEqual">
      <formula>$BF5+1</formula>
    </cfRule>
  </conditionalFormatting>
  <conditionalFormatting sqref="K5:M20">
    <cfRule type="cellIs" priority="33" operator="equal">
      <formula>"-"</formula>
    </cfRule>
  </conditionalFormatting>
  <conditionalFormatting sqref="M5:M20">
    <cfRule type="cellIs" dxfId="103" priority="30" operator="greaterThanOrEqual">
      <formula>$BG5+1</formula>
    </cfRule>
    <cfRule type="cellIs" dxfId="102" priority="31" operator="lessThanOrEqual">
      <formula>$BG5-1</formula>
    </cfRule>
  </conditionalFormatting>
  <conditionalFormatting sqref="Y25">
    <cfRule type="cellIs" dxfId="101" priority="25" operator="equal">
      <formula>0</formula>
    </cfRule>
  </conditionalFormatting>
  <conditionalFormatting sqref="AB25">
    <cfRule type="cellIs" dxfId="100" priority="24" operator="equal">
      <formula>0</formula>
    </cfRule>
  </conditionalFormatting>
  <conditionalFormatting sqref="C22:C32">
    <cfRule type="containsText" dxfId="99" priority="1" operator="containsText" text="Journeyape">
      <formula>NOT(ISERROR(SEARCH("Journeyape",C22)))</formula>
    </cfRule>
    <cfRule type="containsText" dxfId="98" priority="6" operator="containsText" text="Journeywoman">
      <formula>NOT(ISERROR(SEARCH("Journeywoman",C22)))</formula>
    </cfRule>
    <cfRule type="containsText" dxfId="97" priority="20" operator="containsText" text="Journeyman">
      <formula>NOT(ISERROR(SEARCH("Journeyman",C22)))</formula>
    </cfRule>
    <cfRule type="cellIs" dxfId="96" priority="22" operator="equal">
      <formula>0</formula>
    </cfRule>
    <cfRule type="beginsWith" dxfId="95" priority="23" operator="beginsWith" text="*">
      <formula>LEFT(C22,LEN("*"))="*"</formula>
    </cfRule>
  </conditionalFormatting>
  <conditionalFormatting sqref="N5:N20">
    <cfRule type="cellIs" dxfId="94" priority="13" operator="equal">
      <formula>0</formula>
    </cfRule>
    <cfRule type="containsText" dxfId="93" priority="17" operator="containsText" text="Error">
      <formula>NOT(ISERROR(SEARCH("Error",N5)))</formula>
    </cfRule>
  </conditionalFormatting>
  <conditionalFormatting sqref="N23:R26">
    <cfRule type="cellIs" dxfId="92" priority="16" operator="equal">
      <formula>0</formula>
    </cfRule>
  </conditionalFormatting>
  <conditionalFormatting sqref="K5:K20">
    <cfRule type="cellIs" dxfId="91" priority="14" operator="lessThan">
      <formula>$BE5</formula>
    </cfRule>
    <cfRule type="cellIs" dxfId="90" priority="15" operator="greaterThan">
      <formula>$BE5</formula>
    </cfRule>
  </conditionalFormatting>
  <conditionalFormatting sqref="AB5:AB20">
    <cfRule type="cellIs" dxfId="89" priority="5" operator="equal">
      <formula>0</formula>
    </cfRule>
    <cfRule type="expression" dxfId="88" priority="48">
      <formula>$E5=0</formula>
    </cfRule>
  </conditionalFormatting>
  <conditionalFormatting sqref="S22:T22 AA22:AB22 X22:Y22">
    <cfRule type="expression" dxfId="87" priority="56">
      <formula>$S$22&gt;8</formula>
    </cfRule>
  </conditionalFormatting>
  <conditionalFormatting sqref="S23:T23 AA23:AB23 X23:Y23">
    <cfRule type="expression" dxfId="86" priority="58">
      <formula>$S$23&gt;6</formula>
    </cfRule>
  </conditionalFormatting>
  <conditionalFormatting sqref="S24:T24 AA24:AB24 X24:Y24">
    <cfRule type="expression" dxfId="85" priority="60">
      <formula>$S$24&gt;12</formula>
    </cfRule>
  </conditionalFormatting>
  <conditionalFormatting sqref="S25:T25 AA25:AB25 X25:Y25">
    <cfRule type="expression" dxfId="84" priority="62">
      <formula>$S25&gt;1</formula>
    </cfRule>
  </conditionalFormatting>
  <conditionalFormatting sqref="S21:T21 AA21:AB21 X21:Y21">
    <cfRule type="expression" dxfId="83" priority="64">
      <formula>$S$21&gt;6</formula>
    </cfRule>
  </conditionalFormatting>
  <conditionalFormatting sqref="S25">
    <cfRule type="expression" dxfId="82" priority="65">
      <formula>$T$25=""</formula>
    </cfRule>
  </conditionalFormatting>
  <conditionalFormatting sqref="C5:C20 E5:G20 I5:O20 Y5:Y20 AA5:AD20">
    <cfRule type="expression" dxfId="81" priority="3">
      <formula>$P5&lt;&gt;""</formula>
    </cfRule>
  </conditionalFormatting>
  <dataValidations count="2">
    <dataValidation type="list" allowBlank="1" showInputMessage="1" showErrorMessage="1" sqref="N28" xr:uid="{FAA05789-B334-401E-B852-59F6B70379C7}">
      <formula1>TeamList</formula1>
    </dataValidation>
    <dataValidation type="list" allowBlank="1" showInputMessage="1" showErrorMessage="1" sqref="O28" xr:uid="{2520EF5C-D79E-42E3-863C-5E2D689805F3}">
      <formula1>Mode</formula1>
    </dataValidation>
  </dataValidations>
  <pageMargins left="0" right="0" top="0.39370078740157483" bottom="0.39370078740157483" header="0" footer="0"/>
  <pageSetup paperSize="9" scale="49" orientation="landscape" r:id="rId1"/>
  <headerFooter>
    <oddHeader>&amp;C&amp;A</oddHeader>
    <oddFooter>&amp;CPagina &amp;P</oddFooter>
  </headerFooter>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DE158047-AC92-4B1E-8250-4ED71D84A013}">
          <x14:formula1>
            <xm:f>OFFSET(Reces!$V$4,,,COUNTA(Reces!$V$4:$V$34)-(COUNTBLANK(Reces!$V$4:$V$34)-1))</xm:f>
          </x14:formula1>
          <xm:sqref>E5:G20</xm:sqref>
        </x14:dataValidation>
        <x14:dataValidation type="list" allowBlank="1" showInputMessage="1" showErrorMessage="1" xr:uid="{B680E149-FA1F-475C-BE9D-BEDB2BDD74F3}">
          <x14:formula1>
            <xm:f>OFFSET(Team!$AR3,,,COUNTA(Team!$AR$4:$AR$128)-COUNT(Team!$AR$4:$AR$128)+1)</xm:f>
          </x14:formula1>
          <xm:sqref>AJ5:AO5</xm:sqref>
        </x14:dataValidation>
        <x14:dataValidation type="list" allowBlank="1" showInputMessage="1" showErrorMessage="1" xr:uid="{CFD7D826-C6C0-4842-9834-0D7D9FA33787}">
          <x14:formula1>
            <xm:f>OFFSET(Team!$AS3,,,COUNTA(Team!$AS$4:$AS$128)-COUNT(Team!$AS$4:$AS$128)+1)</xm:f>
          </x14:formula1>
          <xm:sqref>AJ6:AO6</xm:sqref>
        </x14:dataValidation>
        <x14:dataValidation type="list" allowBlank="1" showInputMessage="1" showErrorMessage="1" xr:uid="{AB30BC9B-F6C9-47D6-8D14-2C594BABBBBB}">
          <x14:formula1>
            <xm:f>OFFSET(Team!$AT3,,,COUNTA(Team!$AT$4:$AT$128)-COUNT(Team!$AT$4:$AT$128)+1)</xm:f>
          </x14:formula1>
          <xm:sqref>AJ7:AO7</xm:sqref>
        </x14:dataValidation>
        <x14:dataValidation type="list" allowBlank="1" showInputMessage="1" showErrorMessage="1" xr:uid="{9513B4DD-E3E7-4F07-B639-B2B5A38DC067}">
          <x14:formula1>
            <xm:f>OFFSET(Team!$AU3,,,COUNTA(Team!$AU$4:$AU$128)-COUNT(Team!$AU$4:$AU$128)+1)</xm:f>
          </x14:formula1>
          <xm:sqref>AJ8:AO8</xm:sqref>
        </x14:dataValidation>
        <x14:dataValidation type="list" allowBlank="1" showInputMessage="1" showErrorMessage="1" xr:uid="{7E5FBE99-42AB-4A3C-A457-5B07606B7572}">
          <x14:formula1>
            <xm:f>OFFSET(Team!$AV3,,,COUNTA(Team!$AV$4:$AV$128)-COUNT(Team!$AV$4:$AV$128)+1)</xm:f>
          </x14:formula1>
          <xm:sqref>AJ9:AO9</xm:sqref>
        </x14:dataValidation>
        <x14:dataValidation type="list" allowBlank="1" showInputMessage="1" showErrorMessage="1" xr:uid="{F6A20970-615D-4418-92A2-5310585A1E6D}">
          <x14:formula1>
            <xm:f>OFFSET(Team!$AW3,,,COUNTA(Team!$AW$4:$AW$128)-COUNT(Team!$AW$4:$AW$128)+1)</xm:f>
          </x14:formula1>
          <xm:sqref>AJ10:AO10</xm:sqref>
        </x14:dataValidation>
        <x14:dataValidation type="list" allowBlank="1" showInputMessage="1" showErrorMessage="1" xr:uid="{9C6FDD60-E08E-4128-A942-942D09CEC79E}">
          <x14:formula1>
            <xm:f>OFFSET(Team!$AX3,,,COUNTA(Team!$AX$4:$AX$128)-COUNT(Team!$AX$4:$AX$128)+1)</xm:f>
          </x14:formula1>
          <xm:sqref>AJ11:AO11</xm:sqref>
        </x14:dataValidation>
        <x14:dataValidation type="list" allowBlank="1" showInputMessage="1" showErrorMessage="1" xr:uid="{6648F7B2-40F2-4BC7-90F5-434E687A6730}">
          <x14:formula1>
            <xm:f>OFFSET(Team!$AY3,,,COUNTA(Team!$AY$4:$AY$128)-COUNT(Team!$AY$4:$AY$128)+1)</xm:f>
          </x14:formula1>
          <xm:sqref>AJ12:AO12</xm:sqref>
        </x14:dataValidation>
        <x14:dataValidation type="list" allowBlank="1" showInputMessage="1" showErrorMessage="1" xr:uid="{A1F35241-4B5C-446E-BDAB-B0A6EF32B8A3}">
          <x14:formula1>
            <xm:f>OFFSET(Team!$AZ3,,,COUNTA(Team!$AZ$4:$AZ$128)-COUNT(Team!$AZ$4:$AZ$128)+1)</xm:f>
          </x14:formula1>
          <xm:sqref>AJ13:AO13</xm:sqref>
        </x14:dataValidation>
        <x14:dataValidation type="list" allowBlank="1" showInputMessage="1" showErrorMessage="1" xr:uid="{090EF329-9204-4875-B735-03BC3AB00748}">
          <x14:formula1>
            <xm:f>OFFSET(Team!$BA3,,,COUNTA(Team!$BA$4:$BA$128)-COUNT(Team!$BA$4:$BA$128)+1)</xm:f>
          </x14:formula1>
          <xm:sqref>AJ14:AO14</xm:sqref>
        </x14:dataValidation>
        <x14:dataValidation type="list" allowBlank="1" showInputMessage="1" showErrorMessage="1" xr:uid="{50CEEF2E-2899-4304-A760-391CBAFC01F9}">
          <x14:formula1>
            <xm:f>OFFSET(Team!$BB3,,,COUNTA(Team!$BB$4:$BB$128)-COUNT(Team!$BB$4:$BB$128)+1)</xm:f>
          </x14:formula1>
          <xm:sqref>AJ15:AO15</xm:sqref>
        </x14:dataValidation>
        <x14:dataValidation type="list" allowBlank="1" showInputMessage="1" showErrorMessage="1" xr:uid="{4C495308-7E24-4F9D-BEDF-7A4D4EE5987C}">
          <x14:formula1>
            <xm:f>OFFSET(Team!$BC3,,,COUNTA(Team!$BC$4:$BC$128)-COUNT(Team!$BC$4:$BC$128)+1)</xm:f>
          </x14:formula1>
          <xm:sqref>AJ16:AO16</xm:sqref>
        </x14:dataValidation>
        <x14:dataValidation type="list" allowBlank="1" showInputMessage="1" showErrorMessage="1" xr:uid="{052F50E8-C92D-41D7-A5B1-5BE012C2C359}">
          <x14:formula1>
            <xm:f>OFFSET(Team!$BD3,,,COUNTA(Team!$BD$4:$BD$128)-COUNT(Team!$BD$4:$BD$128)+1)</xm:f>
          </x14:formula1>
          <xm:sqref>AJ17:AO17</xm:sqref>
        </x14:dataValidation>
        <x14:dataValidation type="list" allowBlank="1" showInputMessage="1" showErrorMessage="1" xr:uid="{13EC69A4-D21C-4021-AC32-29B1760B1921}">
          <x14:formula1>
            <xm:f>OFFSET(Team!$BE3,,,COUNTA(Team!$BE$4:$BE$128)-COUNT(Team!$BE$4:$BE$128)+1)</xm:f>
          </x14:formula1>
          <xm:sqref>AJ18:AO18</xm:sqref>
        </x14:dataValidation>
        <x14:dataValidation type="list" allowBlank="1" showInputMessage="1" showErrorMessage="1" xr:uid="{D3CC04D5-F90F-416F-83CD-C7F0DBAB30C9}">
          <x14:formula1>
            <xm:f>OFFSET(Team!$BF3,,,COUNTA(Team!$BF$4:$BF$128)-COUNT(Team!$BF$4:$BF$128)+1)</xm:f>
          </x14:formula1>
          <xm:sqref>AJ19:AO19</xm:sqref>
        </x14:dataValidation>
        <x14:dataValidation type="list" allowBlank="1" showInputMessage="1" showErrorMessage="1" xr:uid="{5D6F78B5-838D-4205-AB67-504C20A0BF3C}">
          <x14:formula1>
            <xm:f>OFFSET(Team!$BG3,,,COUNTA(Team!$BG$4:$BG$128)-COUNT(Team!$BG$4:$BG$128)+1)</xm:f>
          </x14:formula1>
          <xm:sqref>AJ20:AO20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E091-DCC7-4D87-9FBA-5E46338D6C27}">
  <sheetPr codeName="Foglio2"/>
  <dimension ref="A1:N43"/>
  <sheetViews>
    <sheetView workbookViewId="0">
      <pane xSplit="1" topLeftCell="B1" activePane="topRight" state="frozen"/>
      <selection pane="topRight" activeCell="Q4" sqref="Q4"/>
    </sheetView>
  </sheetViews>
  <sheetFormatPr defaultColWidth="8.703125" defaultRowHeight="13.5" x14ac:dyDescent="0.15"/>
  <cols>
    <col min="1" max="1" width="39.83984375" style="4" bestFit="1" customWidth="1"/>
    <col min="2" max="2" width="22.1875" style="39" bestFit="1" customWidth="1"/>
    <col min="3" max="3" width="11.27734375" style="3" bestFit="1" customWidth="1"/>
    <col min="4" max="4" width="7.84375" style="3" bestFit="1" customWidth="1"/>
    <col min="5" max="5" width="7.4765625" style="3" bestFit="1" customWidth="1"/>
    <col min="6" max="6" width="7.72265625" style="3" bestFit="1" customWidth="1"/>
    <col min="7" max="8" width="7.4765625" style="3" bestFit="1" customWidth="1"/>
    <col min="9" max="9" width="7.23046875" style="3" customWidth="1"/>
    <col min="10" max="10" width="6.37109375" style="3" customWidth="1"/>
    <col min="11" max="11" width="7.23046875" style="3" customWidth="1"/>
    <col min="12" max="12" width="97.09375" style="32" bestFit="1" customWidth="1"/>
    <col min="13" max="13" width="25.7421875" style="3" bestFit="1" customWidth="1"/>
    <col min="14" max="14" width="91.453125" style="3" customWidth="1"/>
    <col min="15" max="16384" width="8.703125" style="3"/>
  </cols>
  <sheetData>
    <row r="1" spans="1:14" ht="20.25" x14ac:dyDescent="0.25">
      <c r="A1" s="16" t="s">
        <v>394</v>
      </c>
      <c r="B1" s="37" t="s">
        <v>28</v>
      </c>
      <c r="C1" s="17" t="s">
        <v>29</v>
      </c>
      <c r="D1" s="18" t="s">
        <v>30</v>
      </c>
      <c r="E1" s="18" t="s">
        <v>31</v>
      </c>
      <c r="F1" s="18" t="s">
        <v>32</v>
      </c>
      <c r="G1" s="18" t="s">
        <v>33</v>
      </c>
      <c r="H1" s="18" t="s">
        <v>34</v>
      </c>
      <c r="I1" s="18" t="s">
        <v>391</v>
      </c>
      <c r="J1" s="38" t="s">
        <v>392</v>
      </c>
      <c r="K1" s="18" t="s">
        <v>393</v>
      </c>
      <c r="L1" s="38" t="s">
        <v>221</v>
      </c>
      <c r="M1" s="38" t="s">
        <v>220</v>
      </c>
      <c r="N1" s="38" t="s">
        <v>422</v>
      </c>
    </row>
    <row r="2" spans="1:14" x14ac:dyDescent="0.15">
      <c r="A2" s="6" t="s">
        <v>475</v>
      </c>
      <c r="C2" s="40">
        <v>0</v>
      </c>
      <c r="D2" s="39">
        <v>5</v>
      </c>
      <c r="E2" s="39">
        <v>2</v>
      </c>
      <c r="F2" s="39" t="s">
        <v>36</v>
      </c>
      <c r="G2" s="39" t="s">
        <v>96</v>
      </c>
      <c r="H2" s="39" t="s">
        <v>103</v>
      </c>
      <c r="I2" s="39">
        <v>3</v>
      </c>
      <c r="J2" s="39">
        <v>6</v>
      </c>
      <c r="K2" s="39">
        <v>7</v>
      </c>
      <c r="L2" s="39" t="s">
        <v>401</v>
      </c>
      <c r="M2" s="41"/>
      <c r="N2" s="42"/>
    </row>
    <row r="3" spans="1:14" ht="26.25" x14ac:dyDescent="0.15">
      <c r="A3" s="6" t="s">
        <v>469</v>
      </c>
      <c r="B3" s="39" t="s">
        <v>280</v>
      </c>
      <c r="C3" s="40">
        <v>280000</v>
      </c>
      <c r="D3" s="39">
        <v>2</v>
      </c>
      <c r="E3" s="39">
        <v>7</v>
      </c>
      <c r="F3" s="39" t="s">
        <v>40</v>
      </c>
      <c r="G3" s="39" t="s">
        <v>37</v>
      </c>
      <c r="H3" s="39" t="s">
        <v>82</v>
      </c>
      <c r="I3" s="39">
        <v>5</v>
      </c>
      <c r="J3" s="39">
        <v>4</v>
      </c>
      <c r="K3" s="39">
        <v>11</v>
      </c>
      <c r="L3" s="39" t="s">
        <v>400</v>
      </c>
      <c r="M3" s="41" t="s">
        <v>426</v>
      </c>
      <c r="N3" s="42" t="s">
        <v>428</v>
      </c>
    </row>
    <row r="4" spans="1:14" x14ac:dyDescent="0.15">
      <c r="A4" s="6" t="s">
        <v>460</v>
      </c>
      <c r="B4" s="39" t="s">
        <v>279</v>
      </c>
      <c r="C4" s="40">
        <v>230000</v>
      </c>
      <c r="D4" s="39">
        <v>8</v>
      </c>
      <c r="E4" s="39">
        <v>3</v>
      </c>
      <c r="F4" s="39" t="s">
        <v>59</v>
      </c>
      <c r="G4" s="39" t="s">
        <v>40</v>
      </c>
      <c r="H4" s="39" t="s">
        <v>38</v>
      </c>
      <c r="I4" s="39">
        <v>2</v>
      </c>
      <c r="J4" s="39">
        <v>5</v>
      </c>
      <c r="K4" s="39">
        <v>8</v>
      </c>
      <c r="L4" s="39" t="s">
        <v>396</v>
      </c>
      <c r="M4" s="41" t="s">
        <v>427</v>
      </c>
      <c r="N4" s="42" t="s">
        <v>429</v>
      </c>
    </row>
    <row r="5" spans="1:14" ht="39" x14ac:dyDescent="0.15">
      <c r="A5" s="6" t="s">
        <v>476</v>
      </c>
      <c r="C5" s="40">
        <v>250000</v>
      </c>
      <c r="D5" s="39">
        <v>5</v>
      </c>
      <c r="E5" s="39">
        <v>5</v>
      </c>
      <c r="F5" s="39" t="s">
        <v>37</v>
      </c>
      <c r="G5" s="39" t="s">
        <v>37</v>
      </c>
      <c r="H5" s="39" t="s">
        <v>41</v>
      </c>
      <c r="I5" s="39">
        <v>4</v>
      </c>
      <c r="J5" s="39">
        <v>4</v>
      </c>
      <c r="K5" s="39">
        <v>10</v>
      </c>
      <c r="L5" s="39" t="s">
        <v>399</v>
      </c>
      <c r="M5" s="41" t="s">
        <v>432</v>
      </c>
      <c r="N5" s="42" t="s">
        <v>442</v>
      </c>
    </row>
    <row r="6" spans="1:14" ht="39" x14ac:dyDescent="0.15">
      <c r="A6" s="6" t="s">
        <v>466</v>
      </c>
      <c r="B6" s="39" t="s">
        <v>446</v>
      </c>
      <c r="C6" s="40">
        <v>195000</v>
      </c>
      <c r="D6" s="39">
        <v>5</v>
      </c>
      <c r="E6" s="39">
        <v>4</v>
      </c>
      <c r="F6" s="39" t="s">
        <v>37</v>
      </c>
      <c r="G6" s="39" t="s">
        <v>53</v>
      </c>
      <c r="H6" s="39" t="s">
        <v>46</v>
      </c>
      <c r="I6" s="39">
        <v>4</v>
      </c>
      <c r="J6" s="39" t="s">
        <v>53</v>
      </c>
      <c r="K6" s="39">
        <v>9</v>
      </c>
      <c r="L6" s="39" t="s">
        <v>397</v>
      </c>
      <c r="M6" s="41" t="s">
        <v>430</v>
      </c>
      <c r="N6" s="42" t="s">
        <v>440</v>
      </c>
    </row>
    <row r="7" spans="1:14" ht="26.25" x14ac:dyDescent="0.15">
      <c r="A7" s="6" t="s">
        <v>462</v>
      </c>
      <c r="B7" s="39" t="s">
        <v>279</v>
      </c>
      <c r="C7" s="40">
        <v>150000</v>
      </c>
      <c r="D7" s="39">
        <v>7</v>
      </c>
      <c r="E7" s="39">
        <v>2</v>
      </c>
      <c r="F7" s="39" t="s">
        <v>59</v>
      </c>
      <c r="G7" s="39" t="s">
        <v>59</v>
      </c>
      <c r="H7" s="39" t="s">
        <v>38</v>
      </c>
      <c r="I7" s="39">
        <v>2</v>
      </c>
      <c r="J7" s="39">
        <v>2</v>
      </c>
      <c r="K7" s="39">
        <v>8</v>
      </c>
      <c r="L7" s="39" t="s">
        <v>398</v>
      </c>
      <c r="M7" s="41" t="s">
        <v>431</v>
      </c>
      <c r="N7" s="42" t="s">
        <v>441</v>
      </c>
    </row>
    <row r="8" spans="1:14" ht="26.25" x14ac:dyDescent="0.15">
      <c r="A8" s="6" t="s">
        <v>474</v>
      </c>
      <c r="B8" s="39" t="s">
        <v>447</v>
      </c>
      <c r="C8" s="40">
        <v>260000</v>
      </c>
      <c r="D8" s="39">
        <v>7</v>
      </c>
      <c r="E8" s="39">
        <v>3</v>
      </c>
      <c r="F8" s="39" t="s">
        <v>59</v>
      </c>
      <c r="G8" s="39" t="s">
        <v>53</v>
      </c>
      <c r="H8" s="39" t="s">
        <v>46</v>
      </c>
      <c r="I8" s="39">
        <v>2</v>
      </c>
      <c r="J8" s="39" t="s">
        <v>53</v>
      </c>
      <c r="K8" s="39">
        <v>9</v>
      </c>
      <c r="L8" s="39" t="s">
        <v>402</v>
      </c>
      <c r="M8" s="41" t="s">
        <v>433</v>
      </c>
      <c r="N8" s="42" t="s">
        <v>443</v>
      </c>
    </row>
    <row r="9" spans="1:14" ht="26.25" x14ac:dyDescent="0.15">
      <c r="A9" s="6" t="s">
        <v>470</v>
      </c>
      <c r="B9" s="39" t="s">
        <v>280</v>
      </c>
      <c r="C9" s="40">
        <v>280000</v>
      </c>
      <c r="D9" s="39">
        <v>7</v>
      </c>
      <c r="E9" s="39">
        <v>4</v>
      </c>
      <c r="F9" s="39" t="s">
        <v>59</v>
      </c>
      <c r="G9" s="39" t="s">
        <v>36</v>
      </c>
      <c r="H9" s="39" t="s">
        <v>46</v>
      </c>
      <c r="I9" s="39">
        <v>2</v>
      </c>
      <c r="J9" s="39">
        <v>3</v>
      </c>
      <c r="K9" s="39">
        <v>9</v>
      </c>
      <c r="L9" s="39" t="s">
        <v>403</v>
      </c>
      <c r="M9" s="41" t="s">
        <v>434</v>
      </c>
      <c r="N9" s="42" t="s">
        <v>444</v>
      </c>
    </row>
    <row r="10" spans="1:14" ht="27" customHeight="1" x14ac:dyDescent="0.15">
      <c r="A10" s="6" t="s">
        <v>471</v>
      </c>
      <c r="B10" s="39" t="s">
        <v>280</v>
      </c>
      <c r="C10" s="40">
        <v>200000</v>
      </c>
      <c r="D10" s="39">
        <v>5</v>
      </c>
      <c r="E10" s="39">
        <v>4</v>
      </c>
      <c r="F10" s="39" t="s">
        <v>36</v>
      </c>
      <c r="G10" s="39" t="s">
        <v>53</v>
      </c>
      <c r="H10" s="39" t="s">
        <v>46</v>
      </c>
      <c r="I10" s="39">
        <v>3</v>
      </c>
      <c r="J10" s="39" t="s">
        <v>53</v>
      </c>
      <c r="K10" s="39">
        <v>9</v>
      </c>
      <c r="L10" s="39" t="s">
        <v>404</v>
      </c>
      <c r="M10" s="6" t="s">
        <v>435</v>
      </c>
      <c r="N10" s="42" t="s">
        <v>445</v>
      </c>
    </row>
    <row r="11" spans="1:14" ht="26.25" x14ac:dyDescent="0.15">
      <c r="A11" s="6" t="s">
        <v>473</v>
      </c>
      <c r="B11" s="39" t="s">
        <v>280</v>
      </c>
      <c r="C11" s="40">
        <v>210000</v>
      </c>
      <c r="D11" s="39">
        <v>5</v>
      </c>
      <c r="E11" s="39">
        <v>3</v>
      </c>
      <c r="F11" s="39" t="s">
        <v>36</v>
      </c>
      <c r="G11" s="39" t="s">
        <v>37</v>
      </c>
      <c r="H11" s="39" t="s">
        <v>41</v>
      </c>
      <c r="I11" s="39">
        <v>3</v>
      </c>
      <c r="J11" s="39">
        <v>4</v>
      </c>
      <c r="K11" s="39">
        <v>10</v>
      </c>
      <c r="L11" s="39" t="s">
        <v>419</v>
      </c>
      <c r="M11" s="41" t="s">
        <v>448</v>
      </c>
      <c r="N11" s="42" t="s">
        <v>449</v>
      </c>
    </row>
    <row r="12" spans="1:14" ht="27" customHeight="1" x14ac:dyDescent="0.15">
      <c r="A12" s="6" t="s">
        <v>468</v>
      </c>
      <c r="B12" s="39" t="s">
        <v>446</v>
      </c>
      <c r="C12" s="40">
        <v>180000</v>
      </c>
      <c r="D12" s="39">
        <v>9</v>
      </c>
      <c r="E12" s="39">
        <v>3</v>
      </c>
      <c r="F12" s="39" t="s">
        <v>59</v>
      </c>
      <c r="G12" s="39" t="s">
        <v>36</v>
      </c>
      <c r="H12" s="39" t="s">
        <v>38</v>
      </c>
      <c r="I12" s="39">
        <v>2</v>
      </c>
      <c r="J12" s="39">
        <v>3</v>
      </c>
      <c r="K12" s="39">
        <v>8</v>
      </c>
      <c r="L12" s="39" t="s">
        <v>407</v>
      </c>
      <c r="M12" s="6" t="s">
        <v>436</v>
      </c>
      <c r="N12" s="42" t="s">
        <v>450</v>
      </c>
    </row>
    <row r="13" spans="1:14" x14ac:dyDescent="0.15">
      <c r="A13" s="6" t="s">
        <v>477</v>
      </c>
      <c r="C13" s="40">
        <v>140000</v>
      </c>
      <c r="D13" s="39">
        <v>6</v>
      </c>
      <c r="E13" s="39">
        <v>3</v>
      </c>
      <c r="F13" s="39" t="s">
        <v>36</v>
      </c>
      <c r="G13" s="39" t="s">
        <v>53</v>
      </c>
      <c r="H13" s="39" t="s">
        <v>46</v>
      </c>
      <c r="I13" s="39">
        <v>3</v>
      </c>
      <c r="J13" s="39" t="s">
        <v>53</v>
      </c>
      <c r="K13" s="39">
        <v>9</v>
      </c>
      <c r="L13" s="39" t="s">
        <v>408</v>
      </c>
      <c r="M13" s="6" t="s">
        <v>437</v>
      </c>
      <c r="N13" s="42" t="s">
        <v>451</v>
      </c>
    </row>
    <row r="14" spans="1:14" ht="26.25" x14ac:dyDescent="0.15">
      <c r="A14" s="6" t="s">
        <v>472</v>
      </c>
      <c r="B14" s="39" t="s">
        <v>280</v>
      </c>
      <c r="C14" s="40">
        <v>210000</v>
      </c>
      <c r="D14" s="39">
        <v>6</v>
      </c>
      <c r="E14" s="39">
        <v>4</v>
      </c>
      <c r="F14" s="39" t="s">
        <v>36</v>
      </c>
      <c r="G14" s="39" t="s">
        <v>37</v>
      </c>
      <c r="H14" s="39" t="s">
        <v>46</v>
      </c>
      <c r="I14" s="39">
        <v>3</v>
      </c>
      <c r="J14" s="39">
        <v>4</v>
      </c>
      <c r="K14" s="39">
        <v>9</v>
      </c>
      <c r="L14" s="39" t="s">
        <v>409</v>
      </c>
      <c r="M14" s="6" t="s">
        <v>438</v>
      </c>
      <c r="N14" s="42" t="s">
        <v>452</v>
      </c>
    </row>
    <row r="15" spans="1:14" ht="39" x14ac:dyDescent="0.15">
      <c r="A15" s="6" t="s">
        <v>467</v>
      </c>
      <c r="B15" s="39" t="s">
        <v>446</v>
      </c>
      <c r="C15" s="40">
        <v>260000</v>
      </c>
      <c r="D15" s="39">
        <v>5</v>
      </c>
      <c r="E15" s="39">
        <v>5</v>
      </c>
      <c r="F15" s="39" t="s">
        <v>36</v>
      </c>
      <c r="G15" s="39" t="s">
        <v>40</v>
      </c>
      <c r="H15" s="39" t="s">
        <v>41</v>
      </c>
      <c r="I15" s="39">
        <v>3</v>
      </c>
      <c r="J15" s="39">
        <v>5</v>
      </c>
      <c r="K15" s="39">
        <v>10</v>
      </c>
      <c r="L15" s="39" t="s">
        <v>410</v>
      </c>
      <c r="M15" s="6" t="s">
        <v>439</v>
      </c>
      <c r="N15" s="42" t="s">
        <v>453</v>
      </c>
    </row>
    <row r="16" spans="1:14" ht="39" x14ac:dyDescent="0.15">
      <c r="A16" s="6" t="s">
        <v>458</v>
      </c>
      <c r="B16" s="39" t="s">
        <v>279</v>
      </c>
      <c r="C16" s="40">
        <v>340000</v>
      </c>
      <c r="D16" s="39">
        <v>7</v>
      </c>
      <c r="E16" s="39">
        <v>3</v>
      </c>
      <c r="F16" s="39" t="s">
        <v>59</v>
      </c>
      <c r="G16" s="39" t="s">
        <v>40</v>
      </c>
      <c r="H16" s="39" t="s">
        <v>46</v>
      </c>
      <c r="I16" s="39">
        <v>2</v>
      </c>
      <c r="J16" s="39">
        <v>5</v>
      </c>
      <c r="K16" s="39">
        <v>9</v>
      </c>
      <c r="L16" s="39" t="s">
        <v>416</v>
      </c>
      <c r="M16" s="6" t="s">
        <v>432</v>
      </c>
      <c r="N16" s="42" t="s">
        <v>454</v>
      </c>
    </row>
    <row r="17" spans="1:14" x14ac:dyDescent="0.15">
      <c r="A17" s="6" t="s">
        <v>478</v>
      </c>
      <c r="C17" s="40">
        <v>220000</v>
      </c>
      <c r="D17" s="39">
        <v>4</v>
      </c>
      <c r="E17" s="39">
        <v>5</v>
      </c>
      <c r="F17" s="39" t="s">
        <v>37</v>
      </c>
      <c r="G17" s="39" t="s">
        <v>96</v>
      </c>
      <c r="H17" s="39" t="s">
        <v>41</v>
      </c>
      <c r="I17" s="39">
        <v>4</v>
      </c>
      <c r="J17" s="39">
        <v>6</v>
      </c>
      <c r="K17" s="39">
        <v>10</v>
      </c>
      <c r="L17" s="39" t="s">
        <v>411</v>
      </c>
      <c r="M17" s="6" t="s">
        <v>457</v>
      </c>
      <c r="N17" s="42" t="s">
        <v>455</v>
      </c>
    </row>
    <row r="18" spans="1:14" ht="27" customHeight="1" x14ac:dyDescent="0.15">
      <c r="A18" s="6" t="s">
        <v>479</v>
      </c>
      <c r="C18" s="40">
        <v>340000</v>
      </c>
      <c r="D18" s="39">
        <v>6</v>
      </c>
      <c r="E18" s="39">
        <v>6</v>
      </c>
      <c r="F18" s="39" t="s">
        <v>36</v>
      </c>
      <c r="G18" s="39" t="s">
        <v>37</v>
      </c>
      <c r="H18" s="39" t="s">
        <v>82</v>
      </c>
      <c r="I18" s="39">
        <v>3</v>
      </c>
      <c r="J18" s="39">
        <v>4</v>
      </c>
      <c r="K18" s="39">
        <v>11</v>
      </c>
      <c r="L18" s="39" t="s">
        <v>412</v>
      </c>
      <c r="M18" s="6" t="s">
        <v>456</v>
      </c>
      <c r="N18" s="42"/>
    </row>
    <row r="19" spans="1:14" ht="27" customHeight="1" x14ac:dyDescent="0.15">
      <c r="A19" s="6" t="s">
        <v>459</v>
      </c>
      <c r="B19" s="39" t="s">
        <v>279</v>
      </c>
      <c r="C19" s="40">
        <v>270000</v>
      </c>
      <c r="D19" s="39">
        <v>8</v>
      </c>
      <c r="E19" s="39">
        <v>3</v>
      </c>
      <c r="F19" s="39" t="s">
        <v>370</v>
      </c>
      <c r="G19" s="39" t="s">
        <v>37</v>
      </c>
      <c r="H19" s="39" t="s">
        <v>38</v>
      </c>
      <c r="I19" s="39">
        <v>1</v>
      </c>
      <c r="J19" s="39">
        <v>4</v>
      </c>
      <c r="K19" s="39">
        <v>8</v>
      </c>
      <c r="L19" s="39" t="s">
        <v>413</v>
      </c>
      <c r="M19" s="6" t="s">
        <v>559</v>
      </c>
      <c r="N19" s="42"/>
    </row>
    <row r="20" spans="1:14" ht="27" customHeight="1" x14ac:dyDescent="0.15">
      <c r="A20" s="6" t="s">
        <v>480</v>
      </c>
      <c r="C20" s="40">
        <v>170000</v>
      </c>
      <c r="D20" s="39">
        <v>6</v>
      </c>
      <c r="E20" s="39">
        <v>3</v>
      </c>
      <c r="F20" s="39" t="s">
        <v>36</v>
      </c>
      <c r="G20" s="39" t="s">
        <v>53</v>
      </c>
      <c r="H20" s="39" t="s">
        <v>38</v>
      </c>
      <c r="I20" s="39">
        <v>3</v>
      </c>
      <c r="J20" s="39" t="s">
        <v>53</v>
      </c>
      <c r="K20" s="39">
        <v>8</v>
      </c>
      <c r="L20" s="39" t="s">
        <v>414</v>
      </c>
      <c r="M20" s="6" t="s">
        <v>560</v>
      </c>
      <c r="N20" s="42"/>
    </row>
    <row r="21" spans="1:14" ht="27" customHeight="1" x14ac:dyDescent="0.15">
      <c r="A21" s="6" t="s">
        <v>481</v>
      </c>
      <c r="C21" s="40">
        <v>150000</v>
      </c>
      <c r="D21" s="39">
        <v>6</v>
      </c>
      <c r="E21" s="39">
        <v>3</v>
      </c>
      <c r="F21" s="39" t="s">
        <v>37</v>
      </c>
      <c r="G21" s="39" t="s">
        <v>37</v>
      </c>
      <c r="H21" s="39" t="s">
        <v>46</v>
      </c>
      <c r="I21" s="39">
        <v>4</v>
      </c>
      <c r="J21" s="39">
        <v>4</v>
      </c>
      <c r="K21" s="39">
        <v>9</v>
      </c>
      <c r="L21" s="39" t="s">
        <v>415</v>
      </c>
      <c r="M21" s="6" t="s">
        <v>561</v>
      </c>
      <c r="N21" s="42"/>
    </row>
    <row r="22" spans="1:14" ht="27" customHeight="1" x14ac:dyDescent="0.15">
      <c r="A22" s="6" t="s">
        <v>461</v>
      </c>
      <c r="B22" s="39" t="s">
        <v>278</v>
      </c>
      <c r="C22" s="40">
        <v>225000</v>
      </c>
      <c r="D22" s="39">
        <v>6</v>
      </c>
      <c r="E22" s="39">
        <v>2</v>
      </c>
      <c r="F22" s="39" t="s">
        <v>36</v>
      </c>
      <c r="G22" s="39" t="s">
        <v>36</v>
      </c>
      <c r="H22" s="39" t="s">
        <v>46</v>
      </c>
      <c r="I22" s="39">
        <v>3</v>
      </c>
      <c r="J22" s="39">
        <v>3</v>
      </c>
      <c r="K22" s="39">
        <v>9</v>
      </c>
      <c r="L22" s="39" t="s">
        <v>395</v>
      </c>
      <c r="M22" s="41" t="s">
        <v>424</v>
      </c>
      <c r="N22" s="42" t="s">
        <v>425</v>
      </c>
    </row>
    <row r="23" spans="1:14" ht="27" customHeight="1" x14ac:dyDescent="0.15">
      <c r="A23" s="6" t="s">
        <v>463</v>
      </c>
      <c r="B23" s="39" t="s">
        <v>279</v>
      </c>
      <c r="C23" s="40">
        <v>0</v>
      </c>
      <c r="D23" s="39">
        <v>7</v>
      </c>
      <c r="E23" s="39">
        <v>3</v>
      </c>
      <c r="F23" s="39" t="s">
        <v>59</v>
      </c>
      <c r="G23" s="39" t="s">
        <v>59</v>
      </c>
      <c r="H23" s="39" t="s">
        <v>38</v>
      </c>
      <c r="I23" s="39">
        <v>2</v>
      </c>
      <c r="J23" s="39">
        <v>2</v>
      </c>
      <c r="K23" s="39">
        <v>8</v>
      </c>
      <c r="L23" s="39" t="s">
        <v>417</v>
      </c>
      <c r="M23" s="6"/>
      <c r="N23" s="42"/>
    </row>
    <row r="24" spans="1:14" ht="27" customHeight="1" x14ac:dyDescent="0.15">
      <c r="A24" s="6" t="s">
        <v>482</v>
      </c>
      <c r="C24" s="40">
        <v>280000</v>
      </c>
      <c r="D24" s="39">
        <v>6</v>
      </c>
      <c r="E24" s="39">
        <v>5</v>
      </c>
      <c r="F24" s="39" t="s">
        <v>36</v>
      </c>
      <c r="G24" s="39" t="s">
        <v>40</v>
      </c>
      <c r="H24" s="39" t="s">
        <v>41</v>
      </c>
      <c r="I24" s="39">
        <v>3</v>
      </c>
      <c r="J24" s="39">
        <v>5</v>
      </c>
      <c r="K24" s="39">
        <v>10</v>
      </c>
      <c r="L24" s="39" t="s">
        <v>418</v>
      </c>
      <c r="M24" s="6" t="s">
        <v>457</v>
      </c>
      <c r="N24" s="42"/>
    </row>
    <row r="25" spans="1:14" ht="27" customHeight="1" x14ac:dyDescent="0.15">
      <c r="A25" s="6" t="s">
        <v>464</v>
      </c>
      <c r="B25" s="39" t="s">
        <v>279</v>
      </c>
      <c r="C25" s="40">
        <v>150000</v>
      </c>
      <c r="D25" s="39">
        <v>5</v>
      </c>
      <c r="E25" s="39">
        <v>4</v>
      </c>
      <c r="F25" s="39" t="s">
        <v>36</v>
      </c>
      <c r="G25" s="39" t="s">
        <v>96</v>
      </c>
      <c r="H25" s="39" t="s">
        <v>46</v>
      </c>
      <c r="I25" s="39">
        <v>3</v>
      </c>
      <c r="J25" s="39">
        <v>6</v>
      </c>
      <c r="K25" s="39">
        <v>9</v>
      </c>
      <c r="L25" s="39" t="s">
        <v>420</v>
      </c>
      <c r="M25" s="6" t="s">
        <v>438</v>
      </c>
      <c r="N25" s="42" t="s">
        <v>562</v>
      </c>
    </row>
    <row r="26" spans="1:14" ht="27" customHeight="1" x14ac:dyDescent="0.15">
      <c r="A26" s="6" t="s">
        <v>465</v>
      </c>
      <c r="B26" s="39" t="s">
        <v>279</v>
      </c>
      <c r="C26" s="40">
        <v>230000</v>
      </c>
      <c r="D26" s="39">
        <v>5</v>
      </c>
      <c r="E26" s="39">
        <v>5</v>
      </c>
      <c r="F26" s="39" t="s">
        <v>37</v>
      </c>
      <c r="G26" s="39" t="s">
        <v>40</v>
      </c>
      <c r="H26" s="39" t="s">
        <v>41</v>
      </c>
      <c r="I26" s="39">
        <v>4</v>
      </c>
      <c r="J26" s="39">
        <v>5</v>
      </c>
      <c r="K26" s="39">
        <v>10</v>
      </c>
      <c r="L26" s="39" t="s">
        <v>421</v>
      </c>
      <c r="M26" s="6" t="s">
        <v>563</v>
      </c>
      <c r="N26" s="42" t="s">
        <v>564</v>
      </c>
    </row>
    <row r="27" spans="1:14" x14ac:dyDescent="0.15">
      <c r="A27" s="6"/>
      <c r="C27" s="40"/>
      <c r="D27" s="39"/>
      <c r="E27" s="39"/>
      <c r="F27" s="39"/>
      <c r="G27" s="39"/>
      <c r="H27" s="39"/>
      <c r="I27" s="39"/>
      <c r="J27" s="39"/>
      <c r="K27" s="39"/>
      <c r="L27" s="39"/>
      <c r="M27" s="41"/>
      <c r="N27" s="42"/>
    </row>
    <row r="28" spans="1:14" x14ac:dyDescent="0.15">
      <c r="A28" s="6"/>
      <c r="C28" s="40"/>
      <c r="D28" s="39"/>
      <c r="E28" s="39"/>
      <c r="F28" s="39"/>
      <c r="G28" s="39"/>
      <c r="H28" s="39"/>
      <c r="I28" s="39"/>
      <c r="J28" s="39"/>
      <c r="K28" s="39"/>
      <c r="L28" s="39"/>
      <c r="M28" s="41"/>
      <c r="N28" s="42"/>
    </row>
    <row r="29" spans="1:14" x14ac:dyDescent="0.15">
      <c r="A29" s="6"/>
      <c r="C29" s="40"/>
      <c r="D29" s="39"/>
      <c r="E29" s="39"/>
      <c r="F29" s="39"/>
      <c r="G29" s="39"/>
      <c r="H29" s="39"/>
      <c r="I29" s="39"/>
      <c r="J29" s="39"/>
      <c r="K29" s="39"/>
      <c r="L29" s="39"/>
      <c r="M29" s="41"/>
      <c r="N29" s="42"/>
    </row>
    <row r="30" spans="1:14" ht="27" customHeight="1" x14ac:dyDescent="0.15">
      <c r="A30" s="6"/>
      <c r="C30" s="40"/>
      <c r="D30" s="39"/>
      <c r="E30" s="39"/>
      <c r="F30" s="39"/>
      <c r="G30" s="39"/>
      <c r="H30" s="39"/>
      <c r="I30" s="39"/>
      <c r="J30" s="39"/>
      <c r="K30" s="39"/>
      <c r="L30" s="39"/>
      <c r="M30" s="6"/>
      <c r="N30" s="42"/>
    </row>
    <row r="31" spans="1:14" x14ac:dyDescent="0.15">
      <c r="A31" s="6"/>
      <c r="C31" s="40"/>
      <c r="D31" s="39"/>
      <c r="E31" s="39"/>
      <c r="F31" s="39"/>
      <c r="G31" s="39"/>
      <c r="H31" s="39"/>
      <c r="I31" s="39"/>
      <c r="J31" s="39"/>
      <c r="K31" s="39"/>
      <c r="L31" s="39"/>
      <c r="M31" s="6"/>
      <c r="N31" s="42"/>
    </row>
    <row r="32" spans="1:14" x14ac:dyDescent="0.15">
      <c r="A32" s="6"/>
      <c r="C32" s="40"/>
      <c r="D32" s="39"/>
      <c r="E32" s="39"/>
      <c r="F32" s="39"/>
      <c r="G32" s="39"/>
      <c r="H32" s="39"/>
      <c r="I32" s="39"/>
      <c r="J32" s="39"/>
      <c r="K32" s="39"/>
      <c r="L32" s="39"/>
      <c r="M32" s="41"/>
      <c r="N32" s="42"/>
    </row>
    <row r="33" spans="1:14" x14ac:dyDescent="0.15">
      <c r="A33" s="6"/>
      <c r="C33" s="40"/>
      <c r="D33" s="39"/>
      <c r="E33" s="39"/>
      <c r="F33" s="39"/>
      <c r="G33" s="39"/>
      <c r="H33" s="39"/>
      <c r="I33" s="39"/>
      <c r="J33" s="39"/>
      <c r="K33" s="39"/>
      <c r="L33" s="39"/>
      <c r="M33" s="41"/>
      <c r="N33" s="42"/>
    </row>
    <row r="34" spans="1:14" x14ac:dyDescent="0.15">
      <c r="A34" s="6"/>
      <c r="C34" s="40"/>
      <c r="D34" s="39"/>
      <c r="E34" s="39"/>
      <c r="F34" s="39"/>
      <c r="G34" s="39"/>
      <c r="H34" s="39"/>
      <c r="I34" s="39"/>
      <c r="J34" s="39"/>
      <c r="K34" s="39"/>
      <c r="L34" s="39"/>
      <c r="M34" s="41"/>
      <c r="N34" s="42"/>
    </row>
    <row r="35" spans="1:14" x14ac:dyDescent="0.15">
      <c r="A35" s="6"/>
      <c r="C35" s="40"/>
      <c r="D35" s="39"/>
      <c r="E35" s="39"/>
      <c r="F35" s="39"/>
      <c r="G35" s="39"/>
      <c r="H35" s="39"/>
      <c r="I35" s="39"/>
      <c r="J35" s="39"/>
      <c r="K35" s="39"/>
      <c r="L35" s="39"/>
      <c r="M35" s="6"/>
      <c r="N35" s="42"/>
    </row>
    <row r="36" spans="1:14" x14ac:dyDescent="0.15">
      <c r="A36" s="6"/>
      <c r="C36" s="40"/>
      <c r="D36" s="39"/>
      <c r="E36" s="39"/>
      <c r="F36" s="39"/>
      <c r="G36" s="39"/>
      <c r="H36" s="39"/>
      <c r="I36" s="39"/>
      <c r="J36" s="39"/>
      <c r="K36" s="39"/>
      <c r="L36" s="39"/>
      <c r="M36" s="6"/>
      <c r="N36" s="42"/>
    </row>
    <row r="37" spans="1:14" x14ac:dyDescent="0.15">
      <c r="A37" s="6"/>
      <c r="C37" s="40"/>
      <c r="D37" s="39"/>
      <c r="E37" s="39"/>
      <c r="F37" s="39"/>
      <c r="G37" s="39"/>
      <c r="H37" s="39"/>
      <c r="I37" s="39"/>
      <c r="J37" s="39"/>
      <c r="K37" s="39"/>
      <c r="L37" s="39"/>
      <c r="M37" s="6"/>
      <c r="N37" s="42"/>
    </row>
    <row r="38" spans="1:14" x14ac:dyDescent="0.15">
      <c r="A38" s="6"/>
      <c r="C38" s="40"/>
      <c r="D38" s="39"/>
      <c r="E38" s="39"/>
      <c r="F38" s="39"/>
      <c r="G38" s="39"/>
      <c r="H38" s="39"/>
      <c r="I38" s="39"/>
      <c r="J38" s="39"/>
      <c r="K38" s="39"/>
      <c r="L38" s="39"/>
      <c r="M38" s="41"/>
      <c r="N38" s="42"/>
    </row>
    <row r="39" spans="1:14" x14ac:dyDescent="0.15">
      <c r="A39" s="6"/>
      <c r="C39" s="40"/>
      <c r="D39" s="39"/>
      <c r="E39" s="39"/>
      <c r="F39" s="39"/>
      <c r="G39" s="39"/>
      <c r="H39" s="39"/>
      <c r="I39" s="39"/>
      <c r="J39" s="39"/>
      <c r="K39" s="39"/>
      <c r="L39" s="39"/>
      <c r="M39" s="6"/>
      <c r="N39" s="42"/>
    </row>
    <row r="40" spans="1:14" x14ac:dyDescent="0.15">
      <c r="A40" s="6"/>
      <c r="C40" s="40"/>
      <c r="D40" s="39"/>
      <c r="E40" s="39"/>
      <c r="F40" s="39"/>
      <c r="G40" s="39"/>
      <c r="H40" s="39"/>
      <c r="I40" s="39"/>
      <c r="J40" s="39"/>
      <c r="K40" s="39"/>
      <c r="L40" s="39"/>
      <c r="M40" s="6"/>
      <c r="N40" s="42"/>
    </row>
    <row r="41" spans="1:14" x14ac:dyDescent="0.15">
      <c r="A41" s="6"/>
      <c r="C41" s="40"/>
      <c r="D41" s="39"/>
      <c r="E41" s="39"/>
      <c r="F41" s="39"/>
      <c r="G41" s="39"/>
      <c r="H41" s="39"/>
      <c r="I41" s="39"/>
      <c r="J41" s="39"/>
      <c r="K41" s="39"/>
      <c r="L41" s="39"/>
      <c r="M41" s="6"/>
      <c r="N41" s="42"/>
    </row>
    <row r="42" spans="1:14" x14ac:dyDescent="0.15">
      <c r="A42" s="6"/>
      <c r="C42" s="40"/>
      <c r="D42" s="39"/>
      <c r="E42" s="39"/>
      <c r="F42" s="39"/>
      <c r="G42" s="39"/>
      <c r="H42" s="39"/>
      <c r="I42" s="39"/>
      <c r="J42" s="39"/>
      <c r="K42" s="39"/>
      <c r="L42" s="39"/>
      <c r="M42" s="6"/>
      <c r="N42" s="42"/>
    </row>
    <row r="43" spans="1:14" x14ac:dyDescent="0.15">
      <c r="A43" s="6"/>
      <c r="C43" s="40"/>
      <c r="D43" s="39"/>
      <c r="E43" s="39"/>
      <c r="F43" s="39"/>
      <c r="G43" s="39"/>
      <c r="H43" s="39"/>
      <c r="I43" s="39"/>
      <c r="J43" s="39"/>
      <c r="K43" s="39"/>
      <c r="L43" s="39"/>
      <c r="M43" s="6"/>
      <c r="N43" s="42"/>
    </row>
  </sheetData>
  <sheetProtection algorithmName="SHA-512" hashValue="BTri0Lj9Ng4Vnovw+DTIxMG0yXBaOTsyJ6FUt/FhLdIAfFlYoVloS+TG6h2Hal3jFr9efyzJ1Qu9j+M4eaiQJw==" saltValue="pEJBLWqfsBdLDuvYTvF5JA==" spinCount="100000" sheet="1"/>
  <phoneticPr fontId="6"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8FBB6-2133-4FA0-BE0E-66D75B8BD2E7}">
  <sheetPr codeName="Foglio3"/>
  <dimension ref="A1:B126"/>
  <sheetViews>
    <sheetView topLeftCell="A2" workbookViewId="0">
      <selection activeCell="A127" sqref="A127"/>
    </sheetView>
  </sheetViews>
  <sheetFormatPr defaultColWidth="8.703125" defaultRowHeight="13.5" x14ac:dyDescent="0.15"/>
  <cols>
    <col min="1" max="1" width="18.87890625" style="43" bestFit="1" customWidth="1"/>
    <col min="2" max="2" width="15.078125" style="3" customWidth="1"/>
    <col min="3" max="16384" width="8.703125" style="3"/>
  </cols>
  <sheetData>
    <row r="1" spans="1:2" s="24" customFormat="1" ht="29.45" customHeight="1" thickBot="1" x14ac:dyDescent="0.3">
      <c r="A1" s="43" t="s">
        <v>222</v>
      </c>
      <c r="B1" s="24" t="s">
        <v>223</v>
      </c>
    </row>
    <row r="2" spans="1:2" ht="14.25" thickBot="1" x14ac:dyDescent="0.2">
      <c r="A2" s="44" t="s">
        <v>293</v>
      </c>
      <c r="B2" s="45" t="s">
        <v>298</v>
      </c>
    </row>
    <row r="3" spans="1:2" ht="14.25" thickBot="1" x14ac:dyDescent="0.2">
      <c r="A3" s="44" t="s">
        <v>294</v>
      </c>
      <c r="B3" s="45" t="s">
        <v>298</v>
      </c>
    </row>
    <row r="4" spans="1:2" ht="14.25" thickBot="1" x14ac:dyDescent="0.2">
      <c r="A4" s="44" t="s">
        <v>295</v>
      </c>
      <c r="B4" s="45" t="s">
        <v>298</v>
      </c>
    </row>
    <row r="5" spans="1:2" ht="14.25" thickBot="1" x14ac:dyDescent="0.2">
      <c r="A5" s="44" t="s">
        <v>296</v>
      </c>
      <c r="B5" s="45" t="s">
        <v>298</v>
      </c>
    </row>
    <row r="6" spans="1:2" ht="14.25" thickBot="1" x14ac:dyDescent="0.2">
      <c r="A6" s="44" t="s">
        <v>297</v>
      </c>
      <c r="B6" s="45" t="s">
        <v>298</v>
      </c>
    </row>
    <row r="7" spans="1:2" ht="14.25" thickBot="1" x14ac:dyDescent="0.2">
      <c r="A7" s="44" t="s">
        <v>275</v>
      </c>
      <c r="B7" s="45" t="s">
        <v>210</v>
      </c>
    </row>
    <row r="8" spans="1:2" ht="14.25" thickBot="1" x14ac:dyDescent="0.2">
      <c r="A8" s="44" t="s">
        <v>276</v>
      </c>
      <c r="B8" s="45" t="s">
        <v>210</v>
      </c>
    </row>
    <row r="9" spans="1:2" ht="14.25" thickBot="1" x14ac:dyDescent="0.2">
      <c r="A9" s="46" t="s">
        <v>251</v>
      </c>
      <c r="B9" s="47" t="s">
        <v>210</v>
      </c>
    </row>
    <row r="10" spans="1:2" ht="14.25" thickBot="1" x14ac:dyDescent="0.2">
      <c r="A10" s="46" t="s">
        <v>252</v>
      </c>
      <c r="B10" s="47" t="s">
        <v>210</v>
      </c>
    </row>
    <row r="11" spans="1:2" ht="14.25" thickBot="1" x14ac:dyDescent="0.2">
      <c r="A11" s="46" t="s">
        <v>253</v>
      </c>
      <c r="B11" s="47" t="s">
        <v>210</v>
      </c>
    </row>
    <row r="12" spans="1:2" ht="14.25" thickBot="1" x14ac:dyDescent="0.2">
      <c r="A12" s="46" t="s">
        <v>254</v>
      </c>
      <c r="B12" s="47" t="s">
        <v>210</v>
      </c>
    </row>
    <row r="13" spans="1:2" ht="14.25" thickBot="1" x14ac:dyDescent="0.2">
      <c r="A13" s="46" t="s">
        <v>274</v>
      </c>
      <c r="B13" s="47" t="s">
        <v>210</v>
      </c>
    </row>
    <row r="14" spans="1:2" ht="14.25" thickBot="1" x14ac:dyDescent="0.2">
      <c r="A14" s="46" t="s">
        <v>255</v>
      </c>
      <c r="B14" s="47" t="s">
        <v>210</v>
      </c>
    </row>
    <row r="15" spans="1:2" ht="14.25" thickBot="1" x14ac:dyDescent="0.2">
      <c r="A15" s="44" t="s">
        <v>277</v>
      </c>
      <c r="B15" s="45" t="s">
        <v>210</v>
      </c>
    </row>
    <row r="16" spans="1:2" ht="14.25" thickBot="1" x14ac:dyDescent="0.2">
      <c r="A16" s="46" t="s">
        <v>256</v>
      </c>
      <c r="B16" s="47" t="s">
        <v>210</v>
      </c>
    </row>
    <row r="17" spans="1:2" ht="14.25" thickBot="1" x14ac:dyDescent="0.2">
      <c r="A17" s="46" t="s">
        <v>257</v>
      </c>
      <c r="B17" s="47" t="s">
        <v>210</v>
      </c>
    </row>
    <row r="18" spans="1:2" ht="14.25" thickBot="1" x14ac:dyDescent="0.2">
      <c r="A18" s="46" t="s">
        <v>258</v>
      </c>
      <c r="B18" s="47" t="s">
        <v>210</v>
      </c>
    </row>
    <row r="19" spans="1:2" ht="14.25" thickBot="1" x14ac:dyDescent="0.2">
      <c r="A19" s="46" t="s">
        <v>247</v>
      </c>
      <c r="B19" s="47" t="s">
        <v>211</v>
      </c>
    </row>
    <row r="20" spans="1:2" ht="14.25" thickBot="1" x14ac:dyDescent="0.2">
      <c r="A20" s="46" t="s">
        <v>268</v>
      </c>
      <c r="B20" s="47" t="s">
        <v>211</v>
      </c>
    </row>
    <row r="21" spans="1:2" ht="14.25" thickBot="1" x14ac:dyDescent="0.2">
      <c r="A21" s="46" t="s">
        <v>269</v>
      </c>
      <c r="B21" s="47" t="s">
        <v>211</v>
      </c>
    </row>
    <row r="22" spans="1:2" ht="14.25" thickBot="1" x14ac:dyDescent="0.2">
      <c r="A22" s="46" t="s">
        <v>68</v>
      </c>
      <c r="B22" s="47" t="s">
        <v>211</v>
      </c>
    </row>
    <row r="23" spans="1:2" ht="14.25" thickBot="1" x14ac:dyDescent="0.2">
      <c r="A23" s="46" t="s">
        <v>270</v>
      </c>
      <c r="B23" s="47" t="s">
        <v>211</v>
      </c>
    </row>
    <row r="24" spans="1:2" ht="14.25" thickBot="1" x14ac:dyDescent="0.2">
      <c r="A24" s="46" t="s">
        <v>248</v>
      </c>
      <c r="B24" s="47" t="s">
        <v>211</v>
      </c>
    </row>
    <row r="25" spans="1:2" ht="14.25" thickBot="1" x14ac:dyDescent="0.2">
      <c r="A25" s="46" t="s">
        <v>249</v>
      </c>
      <c r="B25" s="47" t="s">
        <v>211</v>
      </c>
    </row>
    <row r="26" spans="1:2" ht="14.25" thickBot="1" x14ac:dyDescent="0.2">
      <c r="A26" s="46" t="s">
        <v>250</v>
      </c>
      <c r="B26" s="47" t="s">
        <v>211</v>
      </c>
    </row>
    <row r="27" spans="1:2" ht="14.25" thickBot="1" x14ac:dyDescent="0.2">
      <c r="A27" s="44" t="s">
        <v>271</v>
      </c>
      <c r="B27" s="45" t="s">
        <v>211</v>
      </c>
    </row>
    <row r="28" spans="1:2" ht="14.25" thickBot="1" x14ac:dyDescent="0.2">
      <c r="A28" s="46" t="s">
        <v>6</v>
      </c>
      <c r="B28" s="47" t="s">
        <v>211</v>
      </c>
    </row>
    <row r="29" spans="1:2" ht="14.25" thickBot="1" x14ac:dyDescent="0.2">
      <c r="A29" s="44" t="s">
        <v>272</v>
      </c>
      <c r="B29" s="45" t="s">
        <v>211</v>
      </c>
    </row>
    <row r="30" spans="1:2" ht="14.25" thickBot="1" x14ac:dyDescent="0.2">
      <c r="A30" s="46" t="s">
        <v>273</v>
      </c>
      <c r="B30" s="47" t="s">
        <v>211</v>
      </c>
    </row>
    <row r="31" spans="1:2" ht="14.25" thickBot="1" x14ac:dyDescent="0.2">
      <c r="A31" s="46" t="s">
        <v>240</v>
      </c>
      <c r="B31" s="47" t="s">
        <v>212</v>
      </c>
    </row>
    <row r="32" spans="1:2" ht="14.25" thickBot="1" x14ac:dyDescent="0.2">
      <c r="A32" s="46" t="s">
        <v>241</v>
      </c>
      <c r="B32" s="47" t="s">
        <v>212</v>
      </c>
    </row>
    <row r="33" spans="1:2" ht="14.25" thickBot="1" x14ac:dyDescent="0.2">
      <c r="A33" s="46" t="s">
        <v>264</v>
      </c>
      <c r="B33" s="47" t="s">
        <v>212</v>
      </c>
    </row>
    <row r="34" spans="1:2" ht="14.25" thickBot="1" x14ac:dyDescent="0.2">
      <c r="A34" s="46" t="s">
        <v>242</v>
      </c>
      <c r="B34" s="47" t="s">
        <v>212</v>
      </c>
    </row>
    <row r="35" spans="1:2" ht="14.25" thickBot="1" x14ac:dyDescent="0.2">
      <c r="A35" s="46" t="s">
        <v>265</v>
      </c>
      <c r="B35" s="47" t="s">
        <v>212</v>
      </c>
    </row>
    <row r="36" spans="1:2" ht="14.25" thickBot="1" x14ac:dyDescent="0.2">
      <c r="A36" s="46" t="s">
        <v>47</v>
      </c>
      <c r="B36" s="47" t="s">
        <v>212</v>
      </c>
    </row>
    <row r="37" spans="1:2" ht="14.25" thickBot="1" x14ac:dyDescent="0.2">
      <c r="A37" s="46" t="s">
        <v>266</v>
      </c>
      <c r="B37" s="47" t="s">
        <v>212</v>
      </c>
    </row>
    <row r="38" spans="1:2" ht="14.25" thickBot="1" x14ac:dyDescent="0.2">
      <c r="A38" s="46" t="s">
        <v>267</v>
      </c>
      <c r="B38" s="47" t="s">
        <v>212</v>
      </c>
    </row>
    <row r="39" spans="1:2" ht="14.25" thickBot="1" x14ac:dyDescent="0.2">
      <c r="A39" s="46" t="s">
        <v>243</v>
      </c>
      <c r="B39" s="47" t="s">
        <v>212</v>
      </c>
    </row>
    <row r="40" spans="1:2" ht="14.25" thickBot="1" x14ac:dyDescent="0.2">
      <c r="A40" s="46" t="s">
        <v>244</v>
      </c>
      <c r="B40" s="47" t="s">
        <v>212</v>
      </c>
    </row>
    <row r="41" spans="1:2" ht="14.25" thickBot="1" x14ac:dyDescent="0.2">
      <c r="A41" s="46" t="s">
        <v>245</v>
      </c>
      <c r="B41" s="47" t="s">
        <v>212</v>
      </c>
    </row>
    <row r="42" spans="1:2" ht="14.25" thickBot="1" x14ac:dyDescent="0.2">
      <c r="A42" s="46" t="s">
        <v>246</v>
      </c>
      <c r="B42" s="47" t="s">
        <v>212</v>
      </c>
    </row>
    <row r="43" spans="1:2" ht="14.25" thickBot="1" x14ac:dyDescent="0.2">
      <c r="A43" s="46" t="s">
        <v>70</v>
      </c>
      <c r="B43" s="47" t="s">
        <v>208</v>
      </c>
    </row>
    <row r="44" spans="1:2" ht="14.25" thickBot="1" x14ac:dyDescent="0.2">
      <c r="A44" s="46" t="s">
        <v>232</v>
      </c>
      <c r="B44" s="47" t="s">
        <v>208</v>
      </c>
    </row>
    <row r="45" spans="1:2" ht="14.25" thickBot="1" x14ac:dyDescent="0.2">
      <c r="A45" s="46" t="s">
        <v>262</v>
      </c>
      <c r="B45" s="47" t="s">
        <v>208</v>
      </c>
    </row>
    <row r="46" spans="1:2" ht="14.25" thickBot="1" x14ac:dyDescent="0.2">
      <c r="A46" s="46" t="s">
        <v>117</v>
      </c>
      <c r="B46" s="47" t="s">
        <v>208</v>
      </c>
    </row>
    <row r="47" spans="1:2" ht="14.25" thickBot="1" x14ac:dyDescent="0.2">
      <c r="A47" s="46" t="s">
        <v>263</v>
      </c>
      <c r="B47" s="47" t="s">
        <v>208</v>
      </c>
    </row>
    <row r="48" spans="1:2" ht="14.25" thickBot="1" x14ac:dyDescent="0.2">
      <c r="A48" s="46" t="s">
        <v>233</v>
      </c>
      <c r="B48" s="47" t="s">
        <v>208</v>
      </c>
    </row>
    <row r="49" spans="1:2" ht="14.25" thickBot="1" x14ac:dyDescent="0.2">
      <c r="A49" s="46" t="s">
        <v>234</v>
      </c>
      <c r="B49" s="47" t="s">
        <v>208</v>
      </c>
    </row>
    <row r="50" spans="1:2" ht="14.25" thickBot="1" x14ac:dyDescent="0.2">
      <c r="A50" s="46" t="s">
        <v>235</v>
      </c>
      <c r="B50" s="47" t="s">
        <v>208</v>
      </c>
    </row>
    <row r="51" spans="1:2" ht="14.25" thickBot="1" x14ac:dyDescent="0.2">
      <c r="A51" s="46" t="s">
        <v>236</v>
      </c>
      <c r="B51" s="47" t="s">
        <v>208</v>
      </c>
    </row>
    <row r="52" spans="1:2" ht="14.25" thickBot="1" x14ac:dyDescent="0.2">
      <c r="A52" s="46" t="s">
        <v>237</v>
      </c>
      <c r="B52" s="47" t="s">
        <v>208</v>
      </c>
    </row>
    <row r="53" spans="1:2" ht="14.25" thickBot="1" x14ac:dyDescent="0.2">
      <c r="A53" s="46" t="s">
        <v>238</v>
      </c>
      <c r="B53" s="47" t="s">
        <v>208</v>
      </c>
    </row>
    <row r="54" spans="1:2" ht="14.25" thickBot="1" x14ac:dyDescent="0.2">
      <c r="A54" s="48" t="s">
        <v>239</v>
      </c>
      <c r="B54" s="47" t="s">
        <v>208</v>
      </c>
    </row>
    <row r="55" spans="1:2" ht="14.25" thickBot="1" x14ac:dyDescent="0.2">
      <c r="A55" s="48" t="s">
        <v>224</v>
      </c>
      <c r="B55" s="47" t="s">
        <v>209</v>
      </c>
    </row>
    <row r="56" spans="1:2" ht="14.25" thickBot="1" x14ac:dyDescent="0.2">
      <c r="A56" s="49" t="s">
        <v>259</v>
      </c>
      <c r="B56" s="47" t="s">
        <v>209</v>
      </c>
    </row>
    <row r="57" spans="1:2" x14ac:dyDescent="0.15">
      <c r="A57" s="48" t="s">
        <v>225</v>
      </c>
      <c r="B57" s="50" t="s">
        <v>209</v>
      </c>
    </row>
    <row r="58" spans="1:2" x14ac:dyDescent="0.15">
      <c r="A58" s="48" t="s">
        <v>226</v>
      </c>
      <c r="B58" s="50" t="s">
        <v>209</v>
      </c>
    </row>
    <row r="59" spans="1:2" x14ac:dyDescent="0.15">
      <c r="A59" s="48" t="s">
        <v>134</v>
      </c>
      <c r="B59" s="50" t="s">
        <v>209</v>
      </c>
    </row>
    <row r="60" spans="1:2" x14ac:dyDescent="0.15">
      <c r="A60" s="48" t="s">
        <v>227</v>
      </c>
      <c r="B60" s="50" t="s">
        <v>209</v>
      </c>
    </row>
    <row r="61" spans="1:2" x14ac:dyDescent="0.15">
      <c r="A61" s="48" t="s">
        <v>228</v>
      </c>
      <c r="B61" s="50" t="s">
        <v>209</v>
      </c>
    </row>
    <row r="62" spans="1:2" x14ac:dyDescent="0.15">
      <c r="A62" s="49" t="s">
        <v>260</v>
      </c>
      <c r="B62" s="50" t="s">
        <v>209</v>
      </c>
    </row>
    <row r="63" spans="1:2" x14ac:dyDescent="0.15">
      <c r="A63" s="48" t="s">
        <v>229</v>
      </c>
      <c r="B63" s="50" t="s">
        <v>209</v>
      </c>
    </row>
    <row r="64" spans="1:2" x14ac:dyDescent="0.15">
      <c r="A64" s="49" t="s">
        <v>261</v>
      </c>
      <c r="B64" s="50" t="s">
        <v>209</v>
      </c>
    </row>
    <row r="65" spans="1:2" x14ac:dyDescent="0.15">
      <c r="A65" s="48" t="s">
        <v>230</v>
      </c>
      <c r="B65" s="50" t="s">
        <v>209</v>
      </c>
    </row>
    <row r="66" spans="1:2" ht="14.25" thickBot="1" x14ac:dyDescent="0.2">
      <c r="A66" s="48" t="s">
        <v>231</v>
      </c>
      <c r="B66" s="50" t="s">
        <v>209</v>
      </c>
    </row>
    <row r="67" spans="1:2" ht="14.25" thickBot="1" x14ac:dyDescent="0.2">
      <c r="A67" s="44" t="s">
        <v>305</v>
      </c>
      <c r="B67" s="45" t="s">
        <v>368</v>
      </c>
    </row>
    <row r="68" spans="1:2" ht="14.25" thickBot="1" x14ac:dyDescent="0.2">
      <c r="A68" s="44" t="s">
        <v>306</v>
      </c>
      <c r="B68" s="45" t="s">
        <v>368</v>
      </c>
    </row>
    <row r="69" spans="1:2" ht="14.25" thickBot="1" x14ac:dyDescent="0.2">
      <c r="A69" s="46" t="s">
        <v>307</v>
      </c>
      <c r="B69" s="45" t="s">
        <v>368</v>
      </c>
    </row>
    <row r="70" spans="1:2" ht="14.25" thickBot="1" x14ac:dyDescent="0.2">
      <c r="A70" s="46" t="s">
        <v>308</v>
      </c>
      <c r="B70" s="45" t="s">
        <v>368</v>
      </c>
    </row>
    <row r="71" spans="1:2" ht="14.25" thickBot="1" x14ac:dyDescent="0.2">
      <c r="A71" s="46" t="s">
        <v>309</v>
      </c>
      <c r="B71" s="45" t="s">
        <v>368</v>
      </c>
    </row>
    <row r="72" spans="1:2" ht="14.25" thickBot="1" x14ac:dyDescent="0.2">
      <c r="A72" s="46" t="s">
        <v>574</v>
      </c>
      <c r="B72" s="45" t="s">
        <v>368</v>
      </c>
    </row>
    <row r="73" spans="1:2" ht="14.25" thickBot="1" x14ac:dyDescent="0.2">
      <c r="A73" s="46" t="s">
        <v>310</v>
      </c>
      <c r="B73" s="45" t="s">
        <v>368</v>
      </c>
    </row>
    <row r="74" spans="1:2" ht="14.25" thickBot="1" x14ac:dyDescent="0.2">
      <c r="A74" s="46" t="s">
        <v>311</v>
      </c>
      <c r="B74" s="45" t="s">
        <v>368</v>
      </c>
    </row>
    <row r="75" spans="1:2" ht="14.25" thickBot="1" x14ac:dyDescent="0.2">
      <c r="A75" s="44" t="s">
        <v>312</v>
      </c>
      <c r="B75" s="45" t="s">
        <v>368</v>
      </c>
    </row>
    <row r="76" spans="1:2" ht="14.25" thickBot="1" x14ac:dyDescent="0.2">
      <c r="A76" s="46" t="s">
        <v>313</v>
      </c>
      <c r="B76" s="45" t="s">
        <v>368</v>
      </c>
    </row>
    <row r="77" spans="1:2" ht="14.25" thickBot="1" x14ac:dyDescent="0.2">
      <c r="A77" s="46" t="s">
        <v>314</v>
      </c>
      <c r="B77" s="45" t="s">
        <v>368</v>
      </c>
    </row>
    <row r="78" spans="1:2" ht="14.25" thickBot="1" x14ac:dyDescent="0.2">
      <c r="A78" s="46" t="s">
        <v>315</v>
      </c>
      <c r="B78" s="45" t="s">
        <v>368</v>
      </c>
    </row>
    <row r="79" spans="1:2" ht="14.25" thickBot="1" x14ac:dyDescent="0.2">
      <c r="A79" s="46" t="s">
        <v>316</v>
      </c>
      <c r="B79" s="47" t="s">
        <v>367</v>
      </c>
    </row>
    <row r="80" spans="1:2" ht="14.25" thickBot="1" x14ac:dyDescent="0.2">
      <c r="A80" s="46" t="s">
        <v>317</v>
      </c>
      <c r="B80" s="47" t="s">
        <v>367</v>
      </c>
    </row>
    <row r="81" spans="1:2" ht="14.25" thickBot="1" x14ac:dyDescent="0.2">
      <c r="A81" s="46" t="s">
        <v>318</v>
      </c>
      <c r="B81" s="47" t="s">
        <v>367</v>
      </c>
    </row>
    <row r="82" spans="1:2" ht="14.25" thickBot="1" x14ac:dyDescent="0.2">
      <c r="A82" s="46" t="s">
        <v>319</v>
      </c>
      <c r="B82" s="47" t="s">
        <v>367</v>
      </c>
    </row>
    <row r="83" spans="1:2" ht="14.25" thickBot="1" x14ac:dyDescent="0.2">
      <c r="A83" s="46" t="s">
        <v>320</v>
      </c>
      <c r="B83" s="47" t="s">
        <v>367</v>
      </c>
    </row>
    <row r="84" spans="1:2" ht="14.25" thickBot="1" x14ac:dyDescent="0.2">
      <c r="A84" s="46" t="s">
        <v>321</v>
      </c>
      <c r="B84" s="47" t="s">
        <v>367</v>
      </c>
    </row>
    <row r="85" spans="1:2" ht="14.25" thickBot="1" x14ac:dyDescent="0.2">
      <c r="A85" s="46" t="s">
        <v>322</v>
      </c>
      <c r="B85" s="47" t="s">
        <v>367</v>
      </c>
    </row>
    <row r="86" spans="1:2" ht="14.25" thickBot="1" x14ac:dyDescent="0.2">
      <c r="A86" s="46" t="s">
        <v>323</v>
      </c>
      <c r="B86" s="47" t="s">
        <v>367</v>
      </c>
    </row>
    <row r="87" spans="1:2" ht="14.25" thickBot="1" x14ac:dyDescent="0.2">
      <c r="A87" s="44" t="s">
        <v>324</v>
      </c>
      <c r="B87" s="47" t="s">
        <v>367</v>
      </c>
    </row>
    <row r="88" spans="1:2" ht="14.25" thickBot="1" x14ac:dyDescent="0.2">
      <c r="A88" s="46" t="s">
        <v>325</v>
      </c>
      <c r="B88" s="47" t="s">
        <v>367</v>
      </c>
    </row>
    <row r="89" spans="1:2" ht="14.25" thickBot="1" x14ac:dyDescent="0.2">
      <c r="A89" s="44" t="s">
        <v>326</v>
      </c>
      <c r="B89" s="47" t="s">
        <v>367</v>
      </c>
    </row>
    <row r="90" spans="1:2" ht="14.25" thickBot="1" x14ac:dyDescent="0.2">
      <c r="A90" s="46" t="s">
        <v>327</v>
      </c>
      <c r="B90" s="47" t="s">
        <v>367</v>
      </c>
    </row>
    <row r="91" spans="1:2" ht="14.25" thickBot="1" x14ac:dyDescent="0.2">
      <c r="A91" s="46" t="s">
        <v>328</v>
      </c>
      <c r="B91" s="47" t="s">
        <v>366</v>
      </c>
    </row>
    <row r="92" spans="1:2" ht="14.25" thickBot="1" x14ac:dyDescent="0.2">
      <c r="A92" s="46" t="s">
        <v>329</v>
      </c>
      <c r="B92" s="47" t="s">
        <v>366</v>
      </c>
    </row>
    <row r="93" spans="1:2" ht="27" thickBot="1" x14ac:dyDescent="0.2">
      <c r="A93" s="46" t="s">
        <v>330</v>
      </c>
      <c r="B93" s="47" t="s">
        <v>366</v>
      </c>
    </row>
    <row r="94" spans="1:2" ht="14.25" thickBot="1" x14ac:dyDescent="0.2">
      <c r="A94" s="46" t="s">
        <v>331</v>
      </c>
      <c r="B94" s="47" t="s">
        <v>366</v>
      </c>
    </row>
    <row r="95" spans="1:2" ht="14.25" thickBot="1" x14ac:dyDescent="0.2">
      <c r="A95" s="46" t="s">
        <v>332</v>
      </c>
      <c r="B95" s="47" t="s">
        <v>366</v>
      </c>
    </row>
    <row r="96" spans="1:2" ht="14.25" thickBot="1" x14ac:dyDescent="0.2">
      <c r="A96" s="46" t="s">
        <v>333</v>
      </c>
      <c r="B96" s="47" t="s">
        <v>366</v>
      </c>
    </row>
    <row r="97" spans="1:2" ht="14.25" thickBot="1" x14ac:dyDescent="0.2">
      <c r="A97" s="46" t="s">
        <v>334</v>
      </c>
      <c r="B97" s="47" t="s">
        <v>366</v>
      </c>
    </row>
    <row r="98" spans="1:2" ht="14.25" thickBot="1" x14ac:dyDescent="0.2">
      <c r="A98" s="46" t="s">
        <v>335</v>
      </c>
      <c r="B98" s="47" t="s">
        <v>366</v>
      </c>
    </row>
    <row r="99" spans="1:2" ht="14.25" thickBot="1" x14ac:dyDescent="0.2">
      <c r="A99" s="46" t="s">
        <v>336</v>
      </c>
      <c r="B99" s="47" t="s">
        <v>366</v>
      </c>
    </row>
    <row r="100" spans="1:2" ht="14.25" thickBot="1" x14ac:dyDescent="0.2">
      <c r="A100" s="46" t="s">
        <v>337</v>
      </c>
      <c r="B100" s="47" t="s">
        <v>366</v>
      </c>
    </row>
    <row r="101" spans="1:2" ht="14.25" thickBot="1" x14ac:dyDescent="0.2">
      <c r="A101" s="46" t="s">
        <v>338</v>
      </c>
      <c r="B101" s="47" t="s">
        <v>366</v>
      </c>
    </row>
    <row r="102" spans="1:2" ht="14.25" thickBot="1" x14ac:dyDescent="0.2">
      <c r="A102" s="46" t="s">
        <v>339</v>
      </c>
      <c r="B102" s="47" t="s">
        <v>366</v>
      </c>
    </row>
    <row r="103" spans="1:2" ht="14.25" thickBot="1" x14ac:dyDescent="0.2">
      <c r="A103" s="46" t="s">
        <v>340</v>
      </c>
      <c r="B103" s="47" t="s">
        <v>365</v>
      </c>
    </row>
    <row r="104" spans="1:2" ht="14.25" thickBot="1" x14ac:dyDescent="0.2">
      <c r="A104" s="46" t="s">
        <v>341</v>
      </c>
      <c r="B104" s="47" t="s">
        <v>365</v>
      </c>
    </row>
    <row r="105" spans="1:2" ht="14.25" thickBot="1" x14ac:dyDescent="0.2">
      <c r="A105" s="46" t="s">
        <v>342</v>
      </c>
      <c r="B105" s="47" t="s">
        <v>365</v>
      </c>
    </row>
    <row r="106" spans="1:2" ht="14.25" thickBot="1" x14ac:dyDescent="0.2">
      <c r="A106" s="46" t="s">
        <v>343</v>
      </c>
      <c r="B106" s="47" t="s">
        <v>365</v>
      </c>
    </row>
    <row r="107" spans="1:2" ht="14.25" thickBot="1" x14ac:dyDescent="0.2">
      <c r="A107" s="46" t="s">
        <v>344</v>
      </c>
      <c r="B107" s="47" t="s">
        <v>365</v>
      </c>
    </row>
    <row r="108" spans="1:2" ht="14.25" thickBot="1" x14ac:dyDescent="0.2">
      <c r="A108" s="46" t="s">
        <v>345</v>
      </c>
      <c r="B108" s="47" t="s">
        <v>365</v>
      </c>
    </row>
    <row r="109" spans="1:2" ht="14.25" thickBot="1" x14ac:dyDescent="0.2">
      <c r="A109" s="46" t="s">
        <v>346</v>
      </c>
      <c r="B109" s="47" t="s">
        <v>365</v>
      </c>
    </row>
    <row r="110" spans="1:2" ht="14.25" thickBot="1" x14ac:dyDescent="0.2">
      <c r="A110" s="46" t="s">
        <v>347</v>
      </c>
      <c r="B110" s="47" t="s">
        <v>365</v>
      </c>
    </row>
    <row r="111" spans="1:2" ht="14.25" thickBot="1" x14ac:dyDescent="0.2">
      <c r="A111" s="46" t="s">
        <v>348</v>
      </c>
      <c r="B111" s="47" t="s">
        <v>365</v>
      </c>
    </row>
    <row r="112" spans="1:2" ht="14.25" thickBot="1" x14ac:dyDescent="0.2">
      <c r="A112" s="46" t="s">
        <v>349</v>
      </c>
      <c r="B112" s="47" t="s">
        <v>365</v>
      </c>
    </row>
    <row r="113" spans="1:2" ht="14.25" thickBot="1" x14ac:dyDescent="0.2">
      <c r="A113" s="46" t="s">
        <v>350</v>
      </c>
      <c r="B113" s="47" t="s">
        <v>365</v>
      </c>
    </row>
    <row r="114" spans="1:2" ht="14.25" thickBot="1" x14ac:dyDescent="0.2">
      <c r="A114" s="48" t="s">
        <v>351</v>
      </c>
      <c r="B114" s="47" t="s">
        <v>365</v>
      </c>
    </row>
    <row r="115" spans="1:2" ht="14.25" thickBot="1" x14ac:dyDescent="0.2">
      <c r="A115" s="48" t="s">
        <v>352</v>
      </c>
      <c r="B115" s="47" t="s">
        <v>364</v>
      </c>
    </row>
    <row r="116" spans="1:2" ht="14.25" thickBot="1" x14ac:dyDescent="0.2">
      <c r="A116" s="49" t="s">
        <v>353</v>
      </c>
      <c r="B116" s="47" t="s">
        <v>364</v>
      </c>
    </row>
    <row r="117" spans="1:2" ht="14.25" thickBot="1" x14ac:dyDescent="0.2">
      <c r="A117" s="48" t="s">
        <v>354</v>
      </c>
      <c r="B117" s="47" t="s">
        <v>364</v>
      </c>
    </row>
    <row r="118" spans="1:2" ht="14.25" thickBot="1" x14ac:dyDescent="0.2">
      <c r="A118" s="48" t="s">
        <v>355</v>
      </c>
      <c r="B118" s="47" t="s">
        <v>364</v>
      </c>
    </row>
    <row r="119" spans="1:2" ht="14.25" thickBot="1" x14ac:dyDescent="0.2">
      <c r="A119" s="48" t="s">
        <v>356</v>
      </c>
      <c r="B119" s="47" t="s">
        <v>364</v>
      </c>
    </row>
    <row r="120" spans="1:2" ht="14.25" thickBot="1" x14ac:dyDescent="0.2">
      <c r="A120" s="48" t="s">
        <v>357</v>
      </c>
      <c r="B120" s="47" t="s">
        <v>364</v>
      </c>
    </row>
    <row r="121" spans="1:2" ht="14.25" thickBot="1" x14ac:dyDescent="0.2">
      <c r="A121" s="48" t="s">
        <v>358</v>
      </c>
      <c r="B121" s="47" t="s">
        <v>364</v>
      </c>
    </row>
    <row r="122" spans="1:2" ht="14.25" thickBot="1" x14ac:dyDescent="0.2">
      <c r="A122" s="49" t="s">
        <v>359</v>
      </c>
      <c r="B122" s="47" t="s">
        <v>364</v>
      </c>
    </row>
    <row r="123" spans="1:2" ht="14.25" thickBot="1" x14ac:dyDescent="0.2">
      <c r="A123" s="48" t="s">
        <v>360</v>
      </c>
      <c r="B123" s="47" t="s">
        <v>364</v>
      </c>
    </row>
    <row r="124" spans="1:2" ht="14.25" thickBot="1" x14ac:dyDescent="0.2">
      <c r="A124" s="49" t="s">
        <v>361</v>
      </c>
      <c r="B124" s="47" t="s">
        <v>364</v>
      </c>
    </row>
    <row r="125" spans="1:2" ht="14.25" thickBot="1" x14ac:dyDescent="0.2">
      <c r="A125" s="48" t="s">
        <v>362</v>
      </c>
      <c r="B125" s="47" t="s">
        <v>364</v>
      </c>
    </row>
    <row r="126" spans="1:2" ht="14.25" thickBot="1" x14ac:dyDescent="0.2">
      <c r="A126" s="48" t="s">
        <v>363</v>
      </c>
      <c r="B126" s="47" t="s">
        <v>364</v>
      </c>
    </row>
  </sheetData>
  <sheetProtection algorithmName="SHA-512" hashValue="z/JJvyupJ+lEZVbXEz8j1NktJHg8KF8v1S4qbbAMaQDoXw/yicMpZm6eKXXSkboJB0ExQLnCV2AavOB2zgVjQg==" saltValue="C59+ImmQZutnW8AP4vaA8w==" spinCount="100000" sheet="1" objects="1" scenario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JV230"/>
  <sheetViews>
    <sheetView zoomScaleNormal="100" workbookViewId="0">
      <pane xSplit="1" topLeftCell="B1" activePane="topRight" state="frozen"/>
      <selection pane="topRight" activeCell="FY3" sqref="FY3"/>
    </sheetView>
  </sheetViews>
  <sheetFormatPr defaultColWidth="8.703125" defaultRowHeight="14.25" x14ac:dyDescent="0.15"/>
  <cols>
    <col min="1" max="1" width="40.578125" style="3" bestFit="1" customWidth="1"/>
    <col min="2" max="2" width="22.6796875" style="4" bestFit="1" customWidth="1"/>
    <col min="3" max="3" width="11.27734375" style="4" bestFit="1" customWidth="1"/>
    <col min="4" max="4" width="10.296875" style="4" bestFit="1" customWidth="1"/>
    <col min="5" max="5" width="7.84375" style="4" bestFit="1" customWidth="1"/>
    <col min="6" max="6" width="7.4765625" style="4" bestFit="1" customWidth="1"/>
    <col min="7" max="7" width="7.72265625" style="4" bestFit="1" customWidth="1"/>
    <col min="8" max="8" width="7.4765625" style="2" customWidth="1"/>
    <col min="9" max="9" width="7.4765625" style="2" bestFit="1" customWidth="1"/>
    <col min="10" max="10" width="120.6328125" style="2" bestFit="1" customWidth="1"/>
    <col min="11" max="12" width="7.72265625" style="2" customWidth="1"/>
    <col min="13" max="13" width="6.7421875" style="2" customWidth="1"/>
    <col min="14" max="14" width="8.08984375" style="2" customWidth="1"/>
    <col min="15" max="15" width="7.59765625" style="2" customWidth="1"/>
    <col min="16" max="16" width="8.2109375" style="2" customWidth="1"/>
    <col min="17" max="17" width="8.703125" style="2"/>
    <col min="18" max="18" width="24.2734375" style="2" customWidth="1"/>
    <col min="19" max="19" width="11.765625" style="3" customWidth="1"/>
    <col min="20" max="20" width="11.64453125" style="3" customWidth="1"/>
    <col min="21" max="21" width="11.15234375" style="3" customWidth="1"/>
    <col min="22" max="22" width="8.703125" style="3"/>
    <col min="23" max="23" width="9.8046875" style="3" bestFit="1" customWidth="1"/>
    <col min="24" max="24" width="8.3359375" style="3" customWidth="1"/>
    <col min="25" max="26" width="8.703125" style="3" hidden="1" customWidth="1"/>
    <col min="27" max="27" width="22.1875" style="76" hidden="1" customWidth="1"/>
    <col min="28" max="29" width="25.12890625" style="77" hidden="1" customWidth="1"/>
    <col min="30" max="30" width="25.12890625" style="3" hidden="1" customWidth="1"/>
    <col min="31" max="35" width="25.12890625" style="79" hidden="1" customWidth="1"/>
    <col min="36" max="36" width="25.12890625" style="77" hidden="1" customWidth="1"/>
    <col min="37" max="42" width="25.12890625" style="3" hidden="1" customWidth="1"/>
    <col min="43" max="43" width="8.703125" style="3" customWidth="1"/>
    <col min="44" max="44" width="18.01953125" style="108" bestFit="1" customWidth="1"/>
    <col min="45" max="59" width="18.87890625" style="108" bestFit="1" customWidth="1"/>
    <col min="60" max="61" width="8.703125" style="3" customWidth="1"/>
    <col min="62" max="62" width="8.703125" style="3"/>
    <col min="63" max="63" width="8.578125" style="3" bestFit="1" customWidth="1"/>
    <col min="64" max="282" width="19.3671875" style="3" customWidth="1"/>
    <col min="283" max="16384" width="8.703125" style="3"/>
  </cols>
  <sheetData>
    <row r="1" spans="1:282" ht="20.25" x14ac:dyDescent="0.15">
      <c r="A1" s="216" t="s">
        <v>176</v>
      </c>
      <c r="B1" s="216" t="s">
        <v>28</v>
      </c>
      <c r="C1" s="216" t="s">
        <v>29</v>
      </c>
      <c r="D1" s="216" t="s">
        <v>129</v>
      </c>
      <c r="E1" s="216" t="s">
        <v>30</v>
      </c>
      <c r="F1" s="216" t="s">
        <v>31</v>
      </c>
      <c r="G1" s="216" t="s">
        <v>32</v>
      </c>
      <c r="H1" s="216" t="s">
        <v>33</v>
      </c>
      <c r="I1" s="216" t="s">
        <v>34</v>
      </c>
      <c r="J1" s="216" t="s">
        <v>221</v>
      </c>
      <c r="K1" s="217" t="s">
        <v>208</v>
      </c>
      <c r="L1" s="217" t="s">
        <v>209</v>
      </c>
      <c r="M1" s="217" t="s">
        <v>210</v>
      </c>
      <c r="N1" s="217" t="s">
        <v>211</v>
      </c>
      <c r="O1" s="217" t="s">
        <v>212</v>
      </c>
      <c r="P1" s="218" t="s">
        <v>213</v>
      </c>
      <c r="Q1" s="218" t="s">
        <v>214</v>
      </c>
      <c r="R1" s="219" t="s">
        <v>483</v>
      </c>
      <c r="S1" s="219" t="s">
        <v>371</v>
      </c>
      <c r="T1" s="219" t="s">
        <v>372</v>
      </c>
      <c r="U1" s="219" t="s">
        <v>373</v>
      </c>
      <c r="AR1" s="82" t="s">
        <v>573</v>
      </c>
      <c r="IJ1" s="220"/>
    </row>
    <row r="2" spans="1:282" s="88" customFormat="1" x14ac:dyDescent="0.15">
      <c r="A2" s="95" t="s">
        <v>577</v>
      </c>
      <c r="B2" s="235" t="s">
        <v>576</v>
      </c>
      <c r="C2" s="235">
        <v>50000</v>
      </c>
      <c r="D2" s="235">
        <v>16</v>
      </c>
      <c r="E2" s="235">
        <v>6</v>
      </c>
      <c r="F2" s="235">
        <v>3</v>
      </c>
      <c r="G2" s="235" t="s">
        <v>36</v>
      </c>
      <c r="H2" s="235" t="s">
        <v>37</v>
      </c>
      <c r="I2" s="235" t="s">
        <v>38</v>
      </c>
      <c r="J2" s="236" t="s">
        <v>134</v>
      </c>
      <c r="K2" s="236">
        <v>1</v>
      </c>
      <c r="L2" s="236">
        <v>2</v>
      </c>
      <c r="M2" s="236">
        <v>2</v>
      </c>
      <c r="N2" s="236">
        <v>0</v>
      </c>
      <c r="O2" s="236">
        <v>0</v>
      </c>
      <c r="P2" s="237" t="str">
        <f>IF(TeamT[[#This Row],[General]]+TeamT[[#This Row],[Agility]]+TeamT[[#This Row],[Strength]]+TeamT[[#This Row],[Passing]]+TeamT[[#This Row],[Mutation]]&gt;0,IF(TeamT[[#This Row],[General]]=1,"G","")&amp;IF(TeamT[[#This Row],[Agility]]=1,"A","")&amp;IF(TeamT[[#This Row],[Strength]]=1,"S","")&amp;IF(TeamT[[#This Row],[Passing]]=1,"P","")&amp;IF(TeamT[[#This Row],[Mutation]]=1,"M",""),"Star")</f>
        <v>G</v>
      </c>
      <c r="Q2" s="237" t="str">
        <f>IF(TeamT[[#This Row],[General]]=2,"G","")&amp;IF(TeamT[[#This Row],[Agility]]=2,"A","")&amp;IF(TeamT[[#This Row],[Strength]]=2,"S","")&amp;IF(TeamT[[#This Row],[Passing]]=2,"P","")&amp;IF(TeamT[[#This Row],[Mutation]]=2,"M","")</f>
        <v>AS</v>
      </c>
      <c r="R2" s="238"/>
      <c r="S2" s="236">
        <v>3</v>
      </c>
      <c r="T2" s="236">
        <v>4</v>
      </c>
      <c r="U2" s="236">
        <v>8</v>
      </c>
      <c r="W2" s="239"/>
      <c r="X2" s="239"/>
      <c r="AA2" s="240" t="e">
        <f>HLOOKUP(Roster!$E$5,Team!$BL$2:$MK$128,1,FALSE)</f>
        <v>#N/A</v>
      </c>
      <c r="AB2" s="240" t="e">
        <f>HLOOKUP(Roster!$E$6,Team!$BL$2:$MK$128,1,FALSE)</f>
        <v>#N/A</v>
      </c>
      <c r="AC2" s="240" t="e">
        <f>HLOOKUP(Roster!$E$7,Team!$BL$2:$MK$128,1,FALSE)</f>
        <v>#N/A</v>
      </c>
      <c r="AD2" s="240" t="e">
        <f>HLOOKUP(Roster!$E$8,Team!$BL$2:$MK$128,1,FALSE)</f>
        <v>#N/A</v>
      </c>
      <c r="AE2" s="240" t="e">
        <f>HLOOKUP(Roster!$E$9,Team!$BL$2:$MK$128,1,FALSE)</f>
        <v>#N/A</v>
      </c>
      <c r="AF2" s="240" t="e">
        <f>HLOOKUP(Roster!$E$10,Team!$BL$2:$MK$128,1,FALSE)</f>
        <v>#N/A</v>
      </c>
      <c r="AG2" s="240" t="e">
        <f>HLOOKUP(Roster!$E$11,Team!$BL$2:$MK$128,1,FALSE)</f>
        <v>#N/A</v>
      </c>
      <c r="AH2" s="240" t="e">
        <f>HLOOKUP(Roster!$E$12,Team!$BL$2:$MK$128,1,FALSE)</f>
        <v>#N/A</v>
      </c>
      <c r="AI2" s="240" t="e">
        <f>HLOOKUP(Roster!$E$13,Team!$BL$2:$MK$128,1,FALSE)</f>
        <v>#N/A</v>
      </c>
      <c r="AJ2" s="240" t="e">
        <f>HLOOKUP(Roster!$E$14,Team!$BL$2:$MK$128,1,FALSE)</f>
        <v>#N/A</v>
      </c>
      <c r="AK2" s="240" t="e">
        <f>HLOOKUP(Roster!$E$15,Team!$BL$2:$MK$128,1,FALSE)</f>
        <v>#N/A</v>
      </c>
      <c r="AL2" s="240" t="e">
        <f>HLOOKUP(Roster!$E$16,Team!$BL$2:$MK$128,1,FALSE)</f>
        <v>#N/A</v>
      </c>
      <c r="AM2" s="240" t="e">
        <f>HLOOKUP(Roster!$E$17,Team!$BL$2:$MK$128,1,FALSE)</f>
        <v>#N/A</v>
      </c>
      <c r="AN2" s="240" t="e">
        <f>HLOOKUP(Roster!$E$18,Team!$BL$2:$MK$128,1,FALSE)</f>
        <v>#N/A</v>
      </c>
      <c r="AO2" s="240" t="e">
        <f>HLOOKUP(Roster!$E$19,Team!$BL$2:$MK$128,1,FALSE)</f>
        <v>#N/A</v>
      </c>
      <c r="AP2" s="240" t="e">
        <f>HLOOKUP(Roster!$E$20,Team!$BL$2:$MK$128,1,FALSE)</f>
        <v>#N/A</v>
      </c>
      <c r="AR2" s="241" t="str">
        <f>_xlfn.IFNA($AA$2,"")</f>
        <v/>
      </c>
      <c r="AS2" s="241" t="str">
        <f>_xlfn.IFNA($AB$2,"")</f>
        <v/>
      </c>
      <c r="AT2" s="241" t="str">
        <f>_xlfn.IFNA($AC$2,"")</f>
        <v/>
      </c>
      <c r="AU2" s="241" t="str">
        <f t="shared" ref="AU2:BG2" si="0">_xlfn.IFNA(AD2,"")</f>
        <v/>
      </c>
      <c r="AV2" s="241" t="str">
        <f t="shared" si="0"/>
        <v/>
      </c>
      <c r="AW2" s="241" t="str">
        <f t="shared" si="0"/>
        <v/>
      </c>
      <c r="AX2" s="241" t="str">
        <f t="shared" si="0"/>
        <v/>
      </c>
      <c r="AY2" s="241" t="str">
        <f t="shared" si="0"/>
        <v/>
      </c>
      <c r="AZ2" s="241" t="str">
        <f t="shared" si="0"/>
        <v/>
      </c>
      <c r="BA2" s="241" t="str">
        <f t="shared" si="0"/>
        <v/>
      </c>
      <c r="BB2" s="241" t="str">
        <f t="shared" si="0"/>
        <v/>
      </c>
      <c r="BC2" s="241" t="str">
        <f t="shared" si="0"/>
        <v/>
      </c>
      <c r="BD2" s="241" t="str">
        <f t="shared" si="0"/>
        <v/>
      </c>
      <c r="BE2" s="241" t="str">
        <f t="shared" si="0"/>
        <v/>
      </c>
      <c r="BF2" s="241" t="str">
        <f t="shared" si="0"/>
        <v/>
      </c>
      <c r="BG2" s="241" t="str">
        <f t="shared" si="0"/>
        <v/>
      </c>
      <c r="BL2" s="101" t="s">
        <v>577</v>
      </c>
      <c r="BM2" s="102" t="s">
        <v>578</v>
      </c>
      <c r="BN2" s="101" t="s">
        <v>579</v>
      </c>
      <c r="BO2" s="102" t="s">
        <v>580</v>
      </c>
      <c r="BP2" s="101" t="s">
        <v>622</v>
      </c>
      <c r="BQ2" s="242"/>
      <c r="BR2" s="242" t="s">
        <v>492</v>
      </c>
      <c r="BS2" s="243" t="s">
        <v>35</v>
      </c>
      <c r="BT2" s="243" t="s">
        <v>389</v>
      </c>
      <c r="BU2" s="242" t="s">
        <v>539</v>
      </c>
      <c r="BV2" s="242"/>
      <c r="BW2" s="243" t="s">
        <v>493</v>
      </c>
      <c r="BX2" s="243" t="s">
        <v>48</v>
      </c>
      <c r="BY2" s="243" t="s">
        <v>49</v>
      </c>
      <c r="BZ2" s="243" t="s">
        <v>51</v>
      </c>
      <c r="CA2" s="243" t="s">
        <v>22</v>
      </c>
      <c r="CB2" s="243" t="s">
        <v>538</v>
      </c>
      <c r="CC2" s="243"/>
      <c r="CD2" s="244" t="s">
        <v>586</v>
      </c>
      <c r="CE2" s="244" t="s">
        <v>587</v>
      </c>
      <c r="CF2" s="244" t="s">
        <v>588</v>
      </c>
      <c r="CG2" s="244" t="s">
        <v>589</v>
      </c>
      <c r="CH2" s="245" t="s">
        <v>600</v>
      </c>
      <c r="CI2" s="100"/>
      <c r="CJ2" s="246" t="s">
        <v>494</v>
      </c>
      <c r="CK2" s="247" t="s">
        <v>55</v>
      </c>
      <c r="CL2" s="248" t="s">
        <v>56</v>
      </c>
      <c r="CM2" s="247" t="s">
        <v>57</v>
      </c>
      <c r="CN2" s="248" t="s">
        <v>520</v>
      </c>
      <c r="CO2" s="247" t="s">
        <v>58</v>
      </c>
      <c r="CP2" s="248" t="s">
        <v>60</v>
      </c>
      <c r="CQ2" s="247" t="s">
        <v>61</v>
      </c>
      <c r="CR2" s="248" t="s">
        <v>62</v>
      </c>
      <c r="CS2" s="247" t="s">
        <v>63</v>
      </c>
      <c r="CT2" s="246" t="s">
        <v>540</v>
      </c>
      <c r="CU2" s="246"/>
      <c r="CV2" s="221" t="s">
        <v>650</v>
      </c>
      <c r="CW2" s="221" t="s">
        <v>651</v>
      </c>
      <c r="CX2" s="221" t="s">
        <v>652</v>
      </c>
      <c r="CY2" s="221" t="s">
        <v>653</v>
      </c>
      <c r="CZ2" s="221" t="s">
        <v>654</v>
      </c>
      <c r="DA2" s="221"/>
      <c r="DB2" s="247" t="s">
        <v>66</v>
      </c>
      <c r="DC2" s="248" t="s">
        <v>67</v>
      </c>
      <c r="DD2" s="247" t="s">
        <v>69</v>
      </c>
      <c r="DE2" s="248" t="s">
        <v>513</v>
      </c>
      <c r="DF2" s="247" t="s">
        <v>72</v>
      </c>
      <c r="DG2" s="247" t="s">
        <v>541</v>
      </c>
      <c r="DH2" s="247"/>
      <c r="DI2" s="102" t="s">
        <v>495</v>
      </c>
      <c r="DJ2" s="101" t="s">
        <v>75</v>
      </c>
      <c r="DK2" s="102" t="s">
        <v>77</v>
      </c>
      <c r="DL2" s="101" t="s">
        <v>79</v>
      </c>
      <c r="DM2" s="102" t="s">
        <v>81</v>
      </c>
      <c r="DN2" s="102" t="s">
        <v>542</v>
      </c>
      <c r="DO2" s="102"/>
      <c r="DP2" s="102" t="s">
        <v>496</v>
      </c>
      <c r="DQ2" s="101" t="s">
        <v>84</v>
      </c>
      <c r="DR2" s="102" t="s">
        <v>85</v>
      </c>
      <c r="DS2" s="101" t="s">
        <v>87</v>
      </c>
      <c r="DT2" s="102" t="s">
        <v>543</v>
      </c>
      <c r="DU2" s="102"/>
      <c r="DV2" s="101" t="s">
        <v>497</v>
      </c>
      <c r="DW2" s="102" t="s">
        <v>89</v>
      </c>
      <c r="DX2" s="101" t="s">
        <v>90</v>
      </c>
      <c r="DY2" s="102" t="s">
        <v>91</v>
      </c>
      <c r="DZ2" s="101" t="s">
        <v>92</v>
      </c>
      <c r="EA2" s="249" t="s">
        <v>93</v>
      </c>
      <c r="EB2" s="101" t="s">
        <v>94</v>
      </c>
      <c r="EC2" s="102" t="s">
        <v>43</v>
      </c>
      <c r="ED2" s="101" t="s">
        <v>544</v>
      </c>
      <c r="EE2" s="101"/>
      <c r="EF2" s="102" t="s">
        <v>498</v>
      </c>
      <c r="EG2" s="101" t="s">
        <v>509</v>
      </c>
      <c r="EH2" s="102" t="s">
        <v>18</v>
      </c>
      <c r="EI2" s="101" t="s">
        <v>514</v>
      </c>
      <c r="EJ2" s="102" t="s">
        <v>556</v>
      </c>
      <c r="EK2" s="102"/>
      <c r="EL2" s="250" t="s">
        <v>595</v>
      </c>
      <c r="EM2" s="251" t="s">
        <v>596</v>
      </c>
      <c r="EN2" s="250" t="s">
        <v>597</v>
      </c>
      <c r="EO2" s="251" t="s">
        <v>598</v>
      </c>
      <c r="EP2" s="250" t="s">
        <v>599</v>
      </c>
      <c r="EQ2" s="102"/>
      <c r="ER2" s="101" t="s">
        <v>108</v>
      </c>
      <c r="ES2" s="102" t="s">
        <v>109</v>
      </c>
      <c r="ET2" s="101" t="s">
        <v>110</v>
      </c>
      <c r="EU2" s="102" t="s">
        <v>111</v>
      </c>
      <c r="EV2" s="101" t="s">
        <v>112</v>
      </c>
      <c r="EW2" s="102" t="s">
        <v>24</v>
      </c>
      <c r="EX2" s="101" t="s">
        <v>545</v>
      </c>
      <c r="EY2" s="101"/>
      <c r="EZ2" s="102" t="s">
        <v>499</v>
      </c>
      <c r="FA2" s="101" t="s">
        <v>115</v>
      </c>
      <c r="FB2" s="102" t="s">
        <v>116</v>
      </c>
      <c r="FC2" s="101" t="s">
        <v>515</v>
      </c>
      <c r="FD2" s="102" t="s">
        <v>24</v>
      </c>
      <c r="FE2" s="102" t="s">
        <v>546</v>
      </c>
      <c r="FF2" s="102"/>
      <c r="FG2" s="102" t="s">
        <v>721</v>
      </c>
      <c r="FH2" s="101" t="s">
        <v>723</v>
      </c>
      <c r="FI2" s="102" t="s">
        <v>724</v>
      </c>
      <c r="FJ2" s="101" t="s">
        <v>727</v>
      </c>
      <c r="FK2" s="102" t="s">
        <v>722</v>
      </c>
      <c r="FL2" s="102"/>
      <c r="FM2" s="102" t="s">
        <v>557</v>
      </c>
      <c r="FN2" s="101" t="s">
        <v>122</v>
      </c>
      <c r="FO2" s="102" t="s">
        <v>123</v>
      </c>
      <c r="FP2" s="101" t="s">
        <v>124</v>
      </c>
      <c r="FQ2" s="102" t="s">
        <v>558</v>
      </c>
      <c r="FR2" s="102"/>
      <c r="FS2" s="101" t="s">
        <v>500</v>
      </c>
      <c r="FT2" s="102" t="s">
        <v>510</v>
      </c>
      <c r="FU2" s="101" t="s">
        <v>131</v>
      </c>
      <c r="FV2" s="102" t="s">
        <v>132</v>
      </c>
      <c r="FW2" s="101" t="s">
        <v>523</v>
      </c>
      <c r="FX2" s="101" t="s">
        <v>547</v>
      </c>
      <c r="FY2" s="101"/>
      <c r="FZ2" s="251" t="s">
        <v>761</v>
      </c>
      <c r="GA2" s="250" t="s">
        <v>762</v>
      </c>
      <c r="GB2" s="250" t="s">
        <v>602</v>
      </c>
      <c r="GC2" s="250" t="s">
        <v>763</v>
      </c>
      <c r="GD2" s="251" t="s">
        <v>603</v>
      </c>
      <c r="GE2" s="248" t="s">
        <v>604</v>
      </c>
      <c r="GF2" s="102" t="s">
        <v>621</v>
      </c>
      <c r="GG2" s="101"/>
      <c r="GH2" s="101" t="s">
        <v>501</v>
      </c>
      <c r="GI2" s="102" t="s">
        <v>139</v>
      </c>
      <c r="GJ2" s="101" t="s">
        <v>140</v>
      </c>
      <c r="GK2" s="102" t="s">
        <v>141</v>
      </c>
      <c r="GL2" s="101" t="s">
        <v>548</v>
      </c>
      <c r="GM2" s="101"/>
      <c r="GN2" s="102" t="s">
        <v>502</v>
      </c>
      <c r="GO2" s="101" t="s">
        <v>147</v>
      </c>
      <c r="GP2" s="102" t="s">
        <v>148</v>
      </c>
      <c r="GQ2" s="102" t="s">
        <v>549</v>
      </c>
      <c r="GR2" s="102"/>
      <c r="GS2" s="102" t="s">
        <v>152</v>
      </c>
      <c r="GT2" s="101" t="s">
        <v>153</v>
      </c>
      <c r="GU2" s="102" t="s">
        <v>154</v>
      </c>
      <c r="GV2" s="101" t="s">
        <v>155</v>
      </c>
      <c r="GW2" s="102" t="s">
        <v>159</v>
      </c>
      <c r="GX2" s="101" t="s">
        <v>160</v>
      </c>
      <c r="GY2" s="102" t="s">
        <v>161</v>
      </c>
      <c r="GZ2" s="101" t="s">
        <v>162</v>
      </c>
      <c r="HA2" s="102" t="s">
        <v>163</v>
      </c>
      <c r="HB2" s="101" t="s">
        <v>388</v>
      </c>
      <c r="HC2" s="102" t="s">
        <v>532</v>
      </c>
      <c r="HD2" s="102" t="s">
        <v>550</v>
      </c>
      <c r="HE2" s="102"/>
      <c r="HF2" s="102" t="s">
        <v>503</v>
      </c>
      <c r="HG2" s="101" t="s">
        <v>169</v>
      </c>
      <c r="HH2" s="102" t="s">
        <v>170</v>
      </c>
      <c r="HI2" s="101" t="s">
        <v>516</v>
      </c>
      <c r="HJ2" s="102" t="s">
        <v>524</v>
      </c>
      <c r="HK2" s="101" t="s">
        <v>171</v>
      </c>
      <c r="HL2" s="102" t="s">
        <v>551</v>
      </c>
      <c r="HM2" s="102"/>
      <c r="HN2" s="101" t="s">
        <v>504</v>
      </c>
      <c r="HO2" s="102" t="s">
        <v>500</v>
      </c>
      <c r="HP2" s="101" t="s">
        <v>130</v>
      </c>
      <c r="HQ2" s="102" t="s">
        <v>177</v>
      </c>
      <c r="HR2" s="101" t="s">
        <v>178</v>
      </c>
      <c r="HS2" s="102" t="s">
        <v>547</v>
      </c>
      <c r="HT2" s="102"/>
      <c r="HU2" s="102" t="s">
        <v>748</v>
      </c>
      <c r="HV2" s="102" t="s">
        <v>749</v>
      </c>
      <c r="HW2" s="102" t="s">
        <v>750</v>
      </c>
      <c r="HX2" s="102" t="s">
        <v>753</v>
      </c>
      <c r="HY2" s="102" t="s">
        <v>754</v>
      </c>
      <c r="HZ2" s="102" t="s">
        <v>755</v>
      </c>
      <c r="IA2" s="102"/>
      <c r="IB2" s="101" t="s">
        <v>505</v>
      </c>
      <c r="IC2" s="102" t="s">
        <v>182</v>
      </c>
      <c r="ID2" s="101" t="s">
        <v>184</v>
      </c>
      <c r="IE2" s="102" t="s">
        <v>183</v>
      </c>
      <c r="IF2" s="101" t="s">
        <v>185</v>
      </c>
      <c r="IG2" s="101" t="s">
        <v>552</v>
      </c>
      <c r="IH2" s="101"/>
      <c r="II2" s="101" t="s">
        <v>656</v>
      </c>
      <c r="IJ2" s="221" t="s">
        <v>657</v>
      </c>
      <c r="IK2" s="221" t="s">
        <v>658</v>
      </c>
      <c r="IL2" s="221" t="s">
        <v>659</v>
      </c>
      <c r="IM2" s="221" t="s">
        <v>692</v>
      </c>
      <c r="IN2" s="101"/>
      <c r="IO2" s="101" t="s">
        <v>506</v>
      </c>
      <c r="IP2" s="102" t="s">
        <v>511</v>
      </c>
      <c r="IQ2" s="101" t="s">
        <v>512</v>
      </c>
      <c r="IR2" s="102" t="s">
        <v>517</v>
      </c>
      <c r="IS2" s="101" t="s">
        <v>186</v>
      </c>
      <c r="IT2" s="102" t="s">
        <v>43</v>
      </c>
      <c r="IU2" s="101" t="s">
        <v>553</v>
      </c>
      <c r="IV2" s="101"/>
      <c r="IW2" s="251" t="s">
        <v>504</v>
      </c>
      <c r="IX2" s="250" t="s">
        <v>609</v>
      </c>
      <c r="IY2" s="251" t="s">
        <v>610</v>
      </c>
      <c r="IZ2" s="250" t="s">
        <v>611</v>
      </c>
      <c r="JA2" s="251" t="s">
        <v>612</v>
      </c>
      <c r="JB2" s="101"/>
      <c r="JC2" s="102" t="s">
        <v>507</v>
      </c>
      <c r="JD2" s="101" t="s">
        <v>193</v>
      </c>
      <c r="JE2" s="102" t="s">
        <v>194</v>
      </c>
      <c r="JF2" s="101" t="s">
        <v>518</v>
      </c>
      <c r="JG2" s="102" t="s">
        <v>525</v>
      </c>
      <c r="JH2" s="101" t="s">
        <v>527</v>
      </c>
      <c r="JI2" s="102" t="s">
        <v>195</v>
      </c>
      <c r="JJ2" s="101" t="s">
        <v>196</v>
      </c>
      <c r="JK2" s="102" t="s">
        <v>554</v>
      </c>
      <c r="JL2" s="102"/>
      <c r="JM2" s="102" t="s">
        <v>613</v>
      </c>
      <c r="JN2" s="102" t="s">
        <v>614</v>
      </c>
      <c r="JO2" s="102" t="s">
        <v>615</v>
      </c>
      <c r="JP2" s="102"/>
      <c r="JQ2" s="101" t="s">
        <v>508</v>
      </c>
      <c r="JR2" s="102" t="s">
        <v>202</v>
      </c>
      <c r="JS2" s="101" t="s">
        <v>203</v>
      </c>
      <c r="JT2" s="102" t="s">
        <v>204</v>
      </c>
      <c r="JU2" s="101" t="s">
        <v>205</v>
      </c>
      <c r="JV2" s="101" t="s">
        <v>555</v>
      </c>
    </row>
    <row r="3" spans="1:282" x14ac:dyDescent="0.15">
      <c r="A3" s="95" t="s">
        <v>578</v>
      </c>
      <c r="B3" s="6" t="s">
        <v>576</v>
      </c>
      <c r="C3" s="6">
        <v>75000</v>
      </c>
      <c r="D3" s="6">
        <v>2</v>
      </c>
      <c r="E3" s="6">
        <v>6</v>
      </c>
      <c r="F3" s="6">
        <v>3</v>
      </c>
      <c r="G3" s="6" t="s">
        <v>36</v>
      </c>
      <c r="H3" s="6" t="s">
        <v>36</v>
      </c>
      <c r="I3" s="6" t="s">
        <v>38</v>
      </c>
      <c r="J3" s="21" t="s">
        <v>581</v>
      </c>
      <c r="K3" s="21">
        <v>1</v>
      </c>
      <c r="L3" s="21">
        <v>2</v>
      </c>
      <c r="M3" s="21">
        <v>2</v>
      </c>
      <c r="N3" s="21">
        <v>1</v>
      </c>
      <c r="O3" s="21">
        <v>0</v>
      </c>
      <c r="P3" s="23" t="str">
        <f>IF(TeamT[[#This Row],[General]]+TeamT[[#This Row],[Agility]]+TeamT[[#This Row],[Strength]]+TeamT[[#This Row],[Passing]]+TeamT[[#This Row],[Mutation]]&gt;0,IF(TeamT[[#This Row],[General]]=1,"G","")&amp;IF(TeamT[[#This Row],[Agility]]=1,"A","")&amp;IF(TeamT[[#This Row],[Strength]]=1,"S","")&amp;IF(TeamT[[#This Row],[Passing]]=1,"P","")&amp;IF(TeamT[[#This Row],[Mutation]]=1,"M",""),"Star")</f>
        <v>GP</v>
      </c>
      <c r="Q3" s="23" t="str">
        <f>IF(TeamT[[#This Row],[General]]=2,"G","")&amp;IF(TeamT[[#This Row],[Agility]]=2,"A","")&amp;IF(TeamT[[#This Row],[Strength]]=2,"S","")&amp;IF(TeamT[[#This Row],[Passing]]=2,"P","")&amp;IF(TeamT[[#This Row],[Mutation]]=2,"M","")</f>
        <v>AS</v>
      </c>
      <c r="R3" s="212"/>
      <c r="S3" s="21">
        <v>3</v>
      </c>
      <c r="T3" s="21">
        <v>3</v>
      </c>
      <c r="U3" s="21">
        <v>8</v>
      </c>
      <c r="Y3" s="83"/>
      <c r="BL3" s="76"/>
      <c r="BM3" s="76"/>
      <c r="BN3" s="76"/>
      <c r="BO3" s="76"/>
      <c r="BP3" s="76"/>
      <c r="BQ3" s="76"/>
      <c r="BR3" s="76"/>
      <c r="BS3" s="77"/>
      <c r="BT3" s="77"/>
      <c r="BU3" s="76"/>
      <c r="BV3" s="76"/>
      <c r="BW3" s="79"/>
      <c r="BX3" s="79"/>
      <c r="BY3" s="79"/>
      <c r="BZ3" s="79"/>
      <c r="CA3" s="79"/>
      <c r="CB3" s="79"/>
      <c r="CC3" s="78"/>
      <c r="CD3" s="78"/>
      <c r="CE3" s="78"/>
      <c r="CF3" s="78"/>
      <c r="CG3" s="78"/>
      <c r="CH3" s="78"/>
      <c r="CI3" s="78"/>
      <c r="CV3" s="76"/>
      <c r="CW3" s="76"/>
      <c r="CX3" s="76"/>
      <c r="CY3" s="76"/>
      <c r="CZ3" s="76"/>
      <c r="DA3" s="220"/>
    </row>
    <row r="4" spans="1:282" x14ac:dyDescent="0.15">
      <c r="A4" s="95" t="s">
        <v>579</v>
      </c>
      <c r="B4" s="6" t="s">
        <v>576</v>
      </c>
      <c r="C4" s="6">
        <v>75000</v>
      </c>
      <c r="D4" s="6">
        <v>2</v>
      </c>
      <c r="E4" s="6">
        <v>6</v>
      </c>
      <c r="F4" s="6">
        <v>3</v>
      </c>
      <c r="G4" s="6" t="s">
        <v>36</v>
      </c>
      <c r="H4" s="6" t="s">
        <v>40</v>
      </c>
      <c r="I4" s="6" t="s">
        <v>38</v>
      </c>
      <c r="J4" s="21" t="s">
        <v>114</v>
      </c>
      <c r="K4" s="21">
        <v>1</v>
      </c>
      <c r="L4" s="21">
        <v>1</v>
      </c>
      <c r="M4" s="21">
        <v>2</v>
      </c>
      <c r="N4" s="21">
        <v>0</v>
      </c>
      <c r="O4" s="21">
        <v>0</v>
      </c>
      <c r="P4" s="23" t="str">
        <f>IF(TeamT[[#This Row],[General]]+TeamT[[#This Row],[Agility]]+TeamT[[#This Row],[Strength]]+TeamT[[#This Row],[Passing]]+TeamT[[#This Row],[Mutation]]&gt;0,IF(TeamT[[#This Row],[General]]=1,"G","")&amp;IF(TeamT[[#This Row],[Agility]]=1,"A","")&amp;IF(TeamT[[#This Row],[Strength]]=1,"S","")&amp;IF(TeamT[[#This Row],[Passing]]=1,"P","")&amp;IF(TeamT[[#This Row],[Mutation]]=1,"M",""),"Star")</f>
        <v>GA</v>
      </c>
      <c r="Q4" s="23" t="str">
        <f>IF(TeamT[[#This Row],[General]]=2,"G","")&amp;IF(TeamT[[#This Row],[Agility]]=2,"A","")&amp;IF(TeamT[[#This Row],[Strength]]=2,"S","")&amp;IF(TeamT[[#This Row],[Passing]]=2,"P","")&amp;IF(TeamT[[#This Row],[Mutation]]=2,"M","")</f>
        <v>S</v>
      </c>
      <c r="R4" s="212"/>
      <c r="S4" s="21">
        <v>3</v>
      </c>
      <c r="T4" s="21">
        <v>5</v>
      </c>
      <c r="U4" s="21">
        <v>8</v>
      </c>
      <c r="AA4" s="76" t="e">
        <f>HLOOKUP(Roster!$E$5,Team!$BL$2:$MK$128,3,FALSE)</f>
        <v>#N/A</v>
      </c>
      <c r="AB4" s="76" t="e">
        <f>HLOOKUP(Roster!$E$6,Team!$BL$2:$MK$128,3,FALSE)</f>
        <v>#N/A</v>
      </c>
      <c r="AC4" s="76" t="e">
        <f>HLOOKUP(Roster!$E$7,Team!$BL$2:$MK$128,3,FALSE)</f>
        <v>#N/A</v>
      </c>
      <c r="AD4" s="76" t="e">
        <f>HLOOKUP(Roster!$E$8,Team!$BL$2:$MK$128,3,FALSE)</f>
        <v>#N/A</v>
      </c>
      <c r="AE4" s="76" t="e">
        <f>HLOOKUP(Roster!$E$9,Team!$BL$2:$MK$128,3,FALSE)</f>
        <v>#N/A</v>
      </c>
      <c r="AF4" s="76" t="e">
        <f>HLOOKUP(Roster!$E$10,Team!$BL$2:$MK$128,3,FALSE)</f>
        <v>#N/A</v>
      </c>
      <c r="AG4" s="76" t="e">
        <f>HLOOKUP(Roster!$E$11,Team!$BL$2:$MK$128,3,FALSE)</f>
        <v>#N/A</v>
      </c>
      <c r="AH4" s="76" t="e">
        <f>HLOOKUP(Roster!$E$12,Team!$BL$2:$MK$128,3,FALSE)</f>
        <v>#N/A</v>
      </c>
      <c r="AI4" s="76" t="e">
        <f>HLOOKUP(Roster!$E$13,Team!$BL$2:$MK$128,3,FALSE)</f>
        <v>#N/A</v>
      </c>
      <c r="AJ4" s="76" t="e">
        <f>HLOOKUP(Roster!$E$14,Team!$BL$2:$MK$128,3,FALSE)</f>
        <v>#N/A</v>
      </c>
      <c r="AK4" s="76" t="e">
        <f>HLOOKUP(Roster!$E$15,Team!$BL$2:$MK$128,3,FALSE)</f>
        <v>#N/A</v>
      </c>
      <c r="AL4" s="76" t="e">
        <f>HLOOKUP(Roster!$E$16,Team!$BL$2:$MK$128,3,FALSE)</f>
        <v>#N/A</v>
      </c>
      <c r="AM4" s="76" t="e">
        <f>HLOOKUP(Roster!$E$17,Team!$BL$2:$MK$128,3,FALSE)</f>
        <v>#N/A</v>
      </c>
      <c r="AN4" s="76" t="e">
        <f>HLOOKUP(Roster!$E$18,Team!$BL$2:$MK$128,3,FALSE)</f>
        <v>#N/A</v>
      </c>
      <c r="AO4" s="76" t="e">
        <f>HLOOKUP(Roster!$E$19,Team!$BL$2:$MK$128,3,FALSE)</f>
        <v>#N/A</v>
      </c>
      <c r="AP4" s="76" t="e">
        <f>HLOOKUP(Roster!$E$20,Team!$BL$2:$MK$128,3,FALSE)</f>
        <v>#N/A</v>
      </c>
      <c r="AR4" s="108">
        <f>_xlfn.IFNA($AA4,0)</f>
        <v>0</v>
      </c>
      <c r="AS4" s="108">
        <f>_xlfn.IFNA($AB4,0)</f>
        <v>0</v>
      </c>
      <c r="AT4" s="108">
        <f>_xlfn.IFNA($AC4,0)</f>
        <v>0</v>
      </c>
      <c r="AU4" s="108">
        <f>_xlfn.IFNA($AD4,0)</f>
        <v>0</v>
      </c>
      <c r="AV4" s="108">
        <f>_xlfn.IFNA($AE4,0)</f>
        <v>0</v>
      </c>
      <c r="AW4" s="108">
        <f>_xlfn.IFNA($AF4,0)</f>
        <v>0</v>
      </c>
      <c r="AX4" s="108">
        <f>_xlfn.IFNA($AG4,0)</f>
        <v>0</v>
      </c>
      <c r="AY4" s="108">
        <f>_xlfn.IFNA($AH4,0)</f>
        <v>0</v>
      </c>
      <c r="AZ4" s="108">
        <f>_xlfn.IFNA($AI4,0)</f>
        <v>0</v>
      </c>
      <c r="BA4" s="108">
        <f>_xlfn.IFNA($AJ4,0)</f>
        <v>0</v>
      </c>
      <c r="BB4" s="108">
        <f>_xlfn.IFNA($AK4,0)</f>
        <v>0</v>
      </c>
      <c r="BC4" s="108">
        <f>_xlfn.IFNA($AL4,0)</f>
        <v>0</v>
      </c>
      <c r="BD4" s="108">
        <f>_xlfn.IFNA($AM4,0)</f>
        <v>0</v>
      </c>
      <c r="BE4" s="108">
        <f>_xlfn.IFNA($AN4,0)</f>
        <v>0</v>
      </c>
      <c r="BF4" s="108">
        <f>_xlfn.IFNA($AO4,0)</f>
        <v>0</v>
      </c>
      <c r="BG4" s="108">
        <f>_xlfn.IFNA($AP4,0)</f>
        <v>0</v>
      </c>
      <c r="BL4" s="74" t="s">
        <v>293</v>
      </c>
      <c r="BM4" s="74" t="s">
        <v>293</v>
      </c>
      <c r="BN4" s="74" t="s">
        <v>293</v>
      </c>
      <c r="BO4" s="74" t="s">
        <v>293</v>
      </c>
      <c r="BP4" s="74" t="s">
        <v>293</v>
      </c>
      <c r="BQ4" s="74"/>
      <c r="BR4" s="74" t="s">
        <v>293</v>
      </c>
      <c r="BS4" s="74" t="s">
        <v>293</v>
      </c>
      <c r="BT4" s="74" t="s">
        <v>293</v>
      </c>
      <c r="BU4" s="74" t="s">
        <v>293</v>
      </c>
      <c r="BW4" s="80" t="s">
        <v>293</v>
      </c>
      <c r="BX4" s="74" t="s">
        <v>293</v>
      </c>
      <c r="BY4" s="74" t="s">
        <v>293</v>
      </c>
      <c r="BZ4" s="74" t="s">
        <v>293</v>
      </c>
      <c r="CA4" s="74" t="s">
        <v>293</v>
      </c>
      <c r="CB4" s="80" t="s">
        <v>293</v>
      </c>
      <c r="CC4" s="55"/>
      <c r="CD4" s="74" t="s">
        <v>293</v>
      </c>
      <c r="CE4" s="74" t="s">
        <v>293</v>
      </c>
      <c r="CF4" s="74" t="s">
        <v>293</v>
      </c>
      <c r="CG4" s="74" t="s">
        <v>293</v>
      </c>
      <c r="CH4" s="74" t="s">
        <v>293</v>
      </c>
      <c r="CI4" s="55"/>
      <c r="CJ4" s="74" t="s">
        <v>293</v>
      </c>
      <c r="CK4" s="80" t="s">
        <v>293</v>
      </c>
      <c r="CL4" s="80" t="s">
        <v>293</v>
      </c>
      <c r="CM4" s="74" t="s">
        <v>293</v>
      </c>
      <c r="CN4" s="74" t="s">
        <v>293</v>
      </c>
      <c r="CO4" s="80" t="s">
        <v>293</v>
      </c>
      <c r="CP4" s="74" t="s">
        <v>293</v>
      </c>
      <c r="CQ4" s="74" t="s">
        <v>293</v>
      </c>
      <c r="CR4" s="74" t="s">
        <v>293</v>
      </c>
      <c r="CS4" s="74" t="s">
        <v>293</v>
      </c>
      <c r="CT4" s="74" t="s">
        <v>293</v>
      </c>
      <c r="CV4" s="74" t="s">
        <v>293</v>
      </c>
      <c r="CW4" s="74" t="s">
        <v>293</v>
      </c>
      <c r="CX4" s="74" t="s">
        <v>293</v>
      </c>
      <c r="CY4" s="74" t="s">
        <v>293</v>
      </c>
      <c r="CZ4" s="74" t="s">
        <v>293</v>
      </c>
      <c r="DA4" s="220"/>
      <c r="DB4" s="74" t="s">
        <v>293</v>
      </c>
      <c r="DC4" s="74" t="s">
        <v>293</v>
      </c>
      <c r="DD4" s="74" t="s">
        <v>293</v>
      </c>
      <c r="DE4" s="74" t="s">
        <v>293</v>
      </c>
      <c r="DF4" s="74" t="s">
        <v>293</v>
      </c>
      <c r="DG4" s="74" t="s">
        <v>293</v>
      </c>
      <c r="DH4" s="74"/>
      <c r="DI4" s="74" t="s">
        <v>293</v>
      </c>
      <c r="DJ4" s="74" t="s">
        <v>293</v>
      </c>
      <c r="DK4" s="74" t="s">
        <v>293</v>
      </c>
      <c r="DL4" s="74" t="s">
        <v>293</v>
      </c>
      <c r="DM4" s="74" t="s">
        <v>293</v>
      </c>
      <c r="DN4" s="74" t="s">
        <v>293</v>
      </c>
      <c r="DO4" s="74"/>
      <c r="DP4" s="74" t="s">
        <v>293</v>
      </c>
      <c r="DQ4" s="74" t="s">
        <v>293</v>
      </c>
      <c r="DR4" s="74" t="s">
        <v>293</v>
      </c>
      <c r="DS4" s="74" t="s">
        <v>293</v>
      </c>
      <c r="DT4" s="74" t="s">
        <v>293</v>
      </c>
      <c r="DU4" s="74"/>
      <c r="DV4" s="74" t="s">
        <v>293</v>
      </c>
      <c r="DW4" s="74" t="s">
        <v>293</v>
      </c>
      <c r="DX4" s="74" t="s">
        <v>293</v>
      </c>
      <c r="DY4" s="74" t="s">
        <v>293</v>
      </c>
      <c r="DZ4" s="74" t="s">
        <v>293</v>
      </c>
      <c r="EA4" s="74" t="s">
        <v>293</v>
      </c>
      <c r="EB4" s="74" t="s">
        <v>293</v>
      </c>
      <c r="EC4" s="74" t="s">
        <v>293</v>
      </c>
      <c r="ED4" s="74" t="s">
        <v>293</v>
      </c>
      <c r="EE4" s="74"/>
      <c r="EF4" s="74" t="s">
        <v>293</v>
      </c>
      <c r="EG4" s="74" t="s">
        <v>293</v>
      </c>
      <c r="EH4" s="74" t="s">
        <v>293</v>
      </c>
      <c r="EI4" s="74" t="s">
        <v>293</v>
      </c>
      <c r="EJ4" s="74" t="s">
        <v>293</v>
      </c>
      <c r="EK4" s="74"/>
      <c r="EL4" s="74" t="s">
        <v>293</v>
      </c>
      <c r="EM4" s="74" t="s">
        <v>293</v>
      </c>
      <c r="EN4" s="74" t="s">
        <v>293</v>
      </c>
      <c r="EO4" s="74" t="s">
        <v>293</v>
      </c>
      <c r="EP4" s="74" t="s">
        <v>293</v>
      </c>
      <c r="EQ4" s="74"/>
      <c r="ER4" s="74" t="s">
        <v>293</v>
      </c>
      <c r="ES4" s="74" t="s">
        <v>293</v>
      </c>
      <c r="ET4" s="74" t="s">
        <v>293</v>
      </c>
      <c r="EU4" s="74" t="s">
        <v>293</v>
      </c>
      <c r="EV4" s="74" t="s">
        <v>293</v>
      </c>
      <c r="EW4" s="74" t="s">
        <v>293</v>
      </c>
      <c r="EX4" s="74" t="s">
        <v>293</v>
      </c>
      <c r="EY4" s="74"/>
      <c r="EZ4" s="74" t="s">
        <v>293</v>
      </c>
      <c r="FA4" s="74" t="s">
        <v>293</v>
      </c>
      <c r="FB4" s="74" t="s">
        <v>293</v>
      </c>
      <c r="FC4" s="74" t="s">
        <v>293</v>
      </c>
      <c r="FD4" s="74" t="s">
        <v>293</v>
      </c>
      <c r="FE4" s="74" t="s">
        <v>293</v>
      </c>
      <c r="FF4" s="74"/>
      <c r="FG4" s="74" t="s">
        <v>293</v>
      </c>
      <c r="FH4" s="80" t="s">
        <v>293</v>
      </c>
      <c r="FI4" s="74" t="s">
        <v>293</v>
      </c>
      <c r="FJ4" s="74" t="s">
        <v>293</v>
      </c>
      <c r="FK4" s="74" t="s">
        <v>293</v>
      </c>
      <c r="FL4" s="74"/>
      <c r="FM4" s="74" t="s">
        <v>293</v>
      </c>
      <c r="FN4" s="74" t="s">
        <v>293</v>
      </c>
      <c r="FO4" s="74" t="s">
        <v>293</v>
      </c>
      <c r="FP4" s="74" t="s">
        <v>293</v>
      </c>
      <c r="FQ4" s="74" t="s">
        <v>293</v>
      </c>
      <c r="FR4" s="74"/>
      <c r="FS4" s="74" t="s">
        <v>293</v>
      </c>
      <c r="FT4" s="74" t="s">
        <v>293</v>
      </c>
      <c r="FU4" s="74" t="s">
        <v>293</v>
      </c>
      <c r="FV4" s="74" t="s">
        <v>293</v>
      </c>
      <c r="FW4" s="74" t="s">
        <v>293</v>
      </c>
      <c r="FX4" s="74" t="s">
        <v>293</v>
      </c>
      <c r="FY4" s="74"/>
      <c r="FZ4" s="74" t="s">
        <v>293</v>
      </c>
      <c r="GA4" s="74" t="s">
        <v>293</v>
      </c>
      <c r="GB4" s="74" t="s">
        <v>293</v>
      </c>
      <c r="GC4" s="74" t="s">
        <v>293</v>
      </c>
      <c r="GD4" s="74" t="s">
        <v>293</v>
      </c>
      <c r="GE4" s="74" t="s">
        <v>293</v>
      </c>
      <c r="GF4" s="74" t="s">
        <v>293</v>
      </c>
      <c r="GG4" s="74"/>
      <c r="GH4" s="74" t="s">
        <v>293</v>
      </c>
      <c r="GI4" s="80" t="s">
        <v>293</v>
      </c>
      <c r="GJ4" s="74" t="s">
        <v>293</v>
      </c>
      <c r="GK4" s="74" t="s">
        <v>293</v>
      </c>
      <c r="GL4" s="74" t="s">
        <v>293</v>
      </c>
      <c r="GM4" s="74"/>
      <c r="GN4" s="74" t="s">
        <v>293</v>
      </c>
      <c r="GO4" s="74" t="s">
        <v>293</v>
      </c>
      <c r="GP4" s="74" t="s">
        <v>293</v>
      </c>
      <c r="GQ4" s="74" t="s">
        <v>293</v>
      </c>
      <c r="GR4" s="74"/>
      <c r="GS4" s="74" t="s">
        <v>293</v>
      </c>
      <c r="GT4" s="74" t="s">
        <v>293</v>
      </c>
      <c r="GU4" s="74" t="s">
        <v>293</v>
      </c>
      <c r="GV4" s="74" t="s">
        <v>293</v>
      </c>
      <c r="GW4" s="74" t="s">
        <v>293</v>
      </c>
      <c r="GX4" s="74" t="s">
        <v>293</v>
      </c>
      <c r="GY4" s="74" t="s">
        <v>293</v>
      </c>
      <c r="GZ4" s="74" t="s">
        <v>293</v>
      </c>
      <c r="HA4" s="74" t="s">
        <v>293</v>
      </c>
      <c r="HB4" s="74" t="s">
        <v>293</v>
      </c>
      <c r="HC4" s="74" t="s">
        <v>293</v>
      </c>
      <c r="HD4" s="74" t="s">
        <v>293</v>
      </c>
      <c r="HE4" s="74"/>
      <c r="HF4" s="74" t="s">
        <v>293</v>
      </c>
      <c r="HG4" s="74" t="s">
        <v>293</v>
      </c>
      <c r="HH4" s="74" t="s">
        <v>293</v>
      </c>
      <c r="HI4" s="74" t="s">
        <v>293</v>
      </c>
      <c r="HJ4" s="74" t="s">
        <v>293</v>
      </c>
      <c r="HK4" s="74" t="s">
        <v>293</v>
      </c>
      <c r="HL4" s="74" t="s">
        <v>293</v>
      </c>
      <c r="HM4" s="74"/>
      <c r="HN4" s="74" t="s">
        <v>293</v>
      </c>
      <c r="HO4" s="74" t="s">
        <v>293</v>
      </c>
      <c r="HP4" s="74" t="s">
        <v>293</v>
      </c>
      <c r="HQ4" s="74" t="s">
        <v>293</v>
      </c>
      <c r="HR4" s="74" t="s">
        <v>293</v>
      </c>
      <c r="HS4" s="74" t="s">
        <v>293</v>
      </c>
      <c r="HT4" s="74"/>
      <c r="HU4" s="74" t="s">
        <v>293</v>
      </c>
      <c r="HV4" s="74" t="s">
        <v>293</v>
      </c>
      <c r="HW4" s="74" t="s">
        <v>293</v>
      </c>
      <c r="HX4" s="74" t="s">
        <v>293</v>
      </c>
      <c r="HY4" s="74" t="s">
        <v>293</v>
      </c>
      <c r="HZ4" s="74" t="s">
        <v>293</v>
      </c>
      <c r="IA4" s="74"/>
      <c r="IB4" s="74" t="s">
        <v>293</v>
      </c>
      <c r="IC4" s="80" t="s">
        <v>293</v>
      </c>
      <c r="ID4" s="80" t="s">
        <v>293</v>
      </c>
      <c r="IE4" s="80" t="s">
        <v>293</v>
      </c>
      <c r="IF4" s="74" t="s">
        <v>293</v>
      </c>
      <c r="IG4" s="74" t="s">
        <v>293</v>
      </c>
      <c r="IH4" s="74"/>
      <c r="II4" s="74" t="s">
        <v>293</v>
      </c>
      <c r="IJ4" s="74" t="s">
        <v>293</v>
      </c>
      <c r="IK4" s="74" t="s">
        <v>293</v>
      </c>
      <c r="IL4" s="74" t="s">
        <v>293</v>
      </c>
      <c r="IM4" s="74" t="s">
        <v>293</v>
      </c>
      <c r="IN4" s="74"/>
      <c r="IO4" s="74" t="s">
        <v>293</v>
      </c>
      <c r="IP4" s="74" t="s">
        <v>293</v>
      </c>
      <c r="IQ4" s="74" t="s">
        <v>293</v>
      </c>
      <c r="IR4" s="74" t="s">
        <v>293</v>
      </c>
      <c r="IS4" s="74" t="s">
        <v>293</v>
      </c>
      <c r="IT4" s="74" t="s">
        <v>293</v>
      </c>
      <c r="IU4" s="74" t="s">
        <v>293</v>
      </c>
      <c r="IV4" s="74"/>
      <c r="IW4" s="74" t="s">
        <v>293</v>
      </c>
      <c r="IX4" s="74" t="s">
        <v>293</v>
      </c>
      <c r="IY4" s="74" t="s">
        <v>293</v>
      </c>
      <c r="IZ4" s="74" t="s">
        <v>293</v>
      </c>
      <c r="JA4" s="74" t="s">
        <v>293</v>
      </c>
      <c r="JB4" s="74"/>
      <c r="JC4" s="74" t="s">
        <v>293</v>
      </c>
      <c r="JD4" s="74" t="s">
        <v>293</v>
      </c>
      <c r="JE4" s="74" t="s">
        <v>293</v>
      </c>
      <c r="JF4" s="80" t="s">
        <v>293</v>
      </c>
      <c r="JG4" s="80" t="s">
        <v>293</v>
      </c>
      <c r="JH4" s="80" t="s">
        <v>293</v>
      </c>
      <c r="JI4" s="80" t="s">
        <v>293</v>
      </c>
      <c r="JJ4" s="74" t="s">
        <v>293</v>
      </c>
      <c r="JK4" s="74" t="s">
        <v>293</v>
      </c>
      <c r="JL4" s="74"/>
      <c r="JM4" s="74" t="s">
        <v>293</v>
      </c>
      <c r="JN4" s="74" t="s">
        <v>293</v>
      </c>
      <c r="JO4" s="74" t="s">
        <v>293</v>
      </c>
      <c r="JP4" s="74"/>
      <c r="JQ4" s="74" t="s">
        <v>293</v>
      </c>
      <c r="JR4" s="74" t="s">
        <v>293</v>
      </c>
      <c r="JS4" s="74" t="s">
        <v>293</v>
      </c>
      <c r="JT4" s="74" t="s">
        <v>293</v>
      </c>
      <c r="JU4" s="74" t="s">
        <v>293</v>
      </c>
      <c r="JV4" s="74" t="s">
        <v>293</v>
      </c>
    </row>
    <row r="5" spans="1:282" x14ac:dyDescent="0.15">
      <c r="A5" s="95" t="s">
        <v>580</v>
      </c>
      <c r="B5" s="6" t="s">
        <v>576</v>
      </c>
      <c r="C5" s="6">
        <v>90000</v>
      </c>
      <c r="D5" s="6">
        <v>4</v>
      </c>
      <c r="E5" s="6">
        <v>6</v>
      </c>
      <c r="F5" s="6">
        <v>3</v>
      </c>
      <c r="G5" s="6" t="s">
        <v>36</v>
      </c>
      <c r="H5" s="6" t="s">
        <v>40</v>
      </c>
      <c r="I5" s="6" t="s">
        <v>38</v>
      </c>
      <c r="J5" s="21" t="s">
        <v>582</v>
      </c>
      <c r="K5" s="21">
        <v>1</v>
      </c>
      <c r="L5" s="21">
        <v>2</v>
      </c>
      <c r="M5" s="21">
        <v>1</v>
      </c>
      <c r="N5" s="21">
        <v>0</v>
      </c>
      <c r="O5" s="21">
        <v>0</v>
      </c>
      <c r="P5" s="23" t="str">
        <f>IF(TeamT[[#This Row],[General]]+TeamT[[#This Row],[Agility]]+TeamT[[#This Row],[Strength]]+TeamT[[#This Row],[Passing]]+TeamT[[#This Row],[Mutation]]&gt;0,IF(TeamT[[#This Row],[General]]=1,"G","")&amp;IF(TeamT[[#This Row],[Agility]]=1,"A","")&amp;IF(TeamT[[#This Row],[Strength]]=1,"S","")&amp;IF(TeamT[[#This Row],[Passing]]=1,"P","")&amp;IF(TeamT[[#This Row],[Mutation]]=1,"M",""),"Star")</f>
        <v>GS</v>
      </c>
      <c r="Q5" s="23" t="str">
        <f>IF(TeamT[[#This Row],[General]]=2,"G","")&amp;IF(TeamT[[#This Row],[Agility]]=2,"A","")&amp;IF(TeamT[[#This Row],[Strength]]=2,"S","")&amp;IF(TeamT[[#This Row],[Passing]]=2,"P","")&amp;IF(TeamT[[#This Row],[Mutation]]=2,"M","")</f>
        <v>A</v>
      </c>
      <c r="R5" s="212"/>
      <c r="S5" s="21">
        <v>3</v>
      </c>
      <c r="T5" s="21">
        <v>5</v>
      </c>
      <c r="U5" s="21">
        <v>8</v>
      </c>
      <c r="AA5" s="76" t="e">
        <f>HLOOKUP(Roster!$E$5,Team!$BL$2:$MK$128,4,FALSE)</f>
        <v>#N/A</v>
      </c>
      <c r="AB5" s="76" t="e">
        <f>HLOOKUP(Roster!$E$6,Team!$BL$2:$MK$128,4,FALSE)</f>
        <v>#N/A</v>
      </c>
      <c r="AC5" s="76" t="e">
        <f>HLOOKUP(Roster!$E$7,Team!$BL$2:$MK$128,4,FALSE)</f>
        <v>#N/A</v>
      </c>
      <c r="AD5" s="76" t="e">
        <f>HLOOKUP(Roster!$E$8,Team!$BL$2:$MK$128,4,FALSE)</f>
        <v>#N/A</v>
      </c>
      <c r="AE5" s="76" t="e">
        <f>HLOOKUP(Roster!$E$9,Team!$BL$2:$MK$128,4,FALSE)</f>
        <v>#N/A</v>
      </c>
      <c r="AF5" s="76" t="e">
        <f>HLOOKUP(Roster!$E$10,Team!$BL$2:$MK$128,4,FALSE)</f>
        <v>#N/A</v>
      </c>
      <c r="AG5" s="76" t="e">
        <f>HLOOKUP(Roster!$E$11,Team!$BL$2:$MK$128,4,FALSE)</f>
        <v>#N/A</v>
      </c>
      <c r="AH5" s="76" t="e">
        <f>HLOOKUP(Roster!$E$12,Team!$BL$2:$MK$128,4,FALSE)</f>
        <v>#N/A</v>
      </c>
      <c r="AI5" s="76" t="e">
        <f>HLOOKUP(Roster!$E$13,Team!$BL$2:$MK$128,4,FALSE)</f>
        <v>#N/A</v>
      </c>
      <c r="AJ5" s="76" t="e">
        <f>HLOOKUP(Roster!$E$14,Team!$BL$2:$MK$128,4,FALSE)</f>
        <v>#N/A</v>
      </c>
      <c r="AK5" s="76" t="e">
        <f>HLOOKUP(Roster!$E$15,Team!$BL$2:$MK$128,4,FALSE)</f>
        <v>#N/A</v>
      </c>
      <c r="AL5" s="76" t="e">
        <f>HLOOKUP(Roster!$E$16,Team!$BL$2:$MK$128,4,FALSE)</f>
        <v>#N/A</v>
      </c>
      <c r="AM5" s="76" t="e">
        <f>HLOOKUP(Roster!$E$17,Team!$BL$2:$MK$128,4,FALSE)</f>
        <v>#N/A</v>
      </c>
      <c r="AN5" s="76" t="e">
        <f>HLOOKUP(Roster!$E$18,Team!$BL$2:$MK$128,4,FALSE)</f>
        <v>#N/A</v>
      </c>
      <c r="AO5" s="76" t="e">
        <f>HLOOKUP(Roster!$E$19,Team!$BL$2:$MK$128,4,FALSE)</f>
        <v>#N/A</v>
      </c>
      <c r="AP5" s="76" t="e">
        <f>HLOOKUP(Roster!$E$20,Team!$BL$2:$MK$128,4,FALSE)</f>
        <v>#N/A</v>
      </c>
      <c r="AR5" s="108">
        <f t="shared" ref="AR5:AR68" si="1">_xlfn.IFNA($AA5,0)</f>
        <v>0</v>
      </c>
      <c r="AS5" s="108">
        <f t="shared" ref="AS5:AS68" si="2">_xlfn.IFNA($AB5,0)</f>
        <v>0</v>
      </c>
      <c r="AT5" s="108">
        <f t="shared" ref="AT5:AT68" si="3">_xlfn.IFNA($AC5,0)</f>
        <v>0</v>
      </c>
      <c r="AU5" s="108">
        <f t="shared" ref="AU5:AU68" si="4">_xlfn.IFNA($AD5,0)</f>
        <v>0</v>
      </c>
      <c r="AV5" s="108">
        <f t="shared" ref="AV5:AV68" si="5">_xlfn.IFNA($AE5,0)</f>
        <v>0</v>
      </c>
      <c r="AW5" s="108">
        <f t="shared" ref="AW5:AW68" si="6">_xlfn.IFNA($AF5,0)</f>
        <v>0</v>
      </c>
      <c r="AX5" s="108">
        <f t="shared" ref="AX5:AX68" si="7">_xlfn.IFNA($AG5,0)</f>
        <v>0</v>
      </c>
      <c r="AY5" s="108">
        <f t="shared" ref="AY5:AY68" si="8">_xlfn.IFNA($AH5,0)</f>
        <v>0</v>
      </c>
      <c r="AZ5" s="108">
        <f t="shared" ref="AZ5:AZ68" si="9">_xlfn.IFNA($AI5,0)</f>
        <v>0</v>
      </c>
      <c r="BA5" s="108">
        <f t="shared" ref="BA5:BA68" si="10">_xlfn.IFNA($AJ5,0)</f>
        <v>0</v>
      </c>
      <c r="BB5" s="108">
        <f t="shared" ref="BB5:BB68" si="11">_xlfn.IFNA($AK5,0)</f>
        <v>0</v>
      </c>
      <c r="BC5" s="108">
        <f t="shared" ref="BC5:BC68" si="12">_xlfn.IFNA($AL5,0)</f>
        <v>0</v>
      </c>
      <c r="BD5" s="108">
        <f t="shared" ref="BD5:BD68" si="13">_xlfn.IFNA($AM5,0)</f>
        <v>0</v>
      </c>
      <c r="BE5" s="108">
        <f t="shared" ref="BE5:BE68" si="14">_xlfn.IFNA($AN5,0)</f>
        <v>0</v>
      </c>
      <c r="BF5" s="108">
        <f t="shared" ref="BF5:BF68" si="15">_xlfn.IFNA($AO5,0)</f>
        <v>0</v>
      </c>
      <c r="BG5" s="108">
        <f t="shared" ref="BG5:BG68" si="16">_xlfn.IFNA($AP5,0)</f>
        <v>0</v>
      </c>
      <c r="BL5" s="74" t="s">
        <v>294</v>
      </c>
      <c r="BM5" s="74" t="s">
        <v>294</v>
      </c>
      <c r="BN5" s="74" t="s">
        <v>294</v>
      </c>
      <c r="BO5" s="74" t="s">
        <v>294</v>
      </c>
      <c r="BP5" s="74" t="s">
        <v>294</v>
      </c>
      <c r="BQ5" s="74"/>
      <c r="BR5" s="74" t="s">
        <v>294</v>
      </c>
      <c r="BS5" s="74" t="s">
        <v>294</v>
      </c>
      <c r="BT5" s="74" t="s">
        <v>294</v>
      </c>
      <c r="BU5" s="74" t="s">
        <v>294</v>
      </c>
      <c r="BV5" s="74"/>
      <c r="BW5" s="80" t="s">
        <v>294</v>
      </c>
      <c r="BX5" s="74" t="s">
        <v>294</v>
      </c>
      <c r="BY5" s="74" t="s">
        <v>294</v>
      </c>
      <c r="BZ5" s="74" t="s">
        <v>294</v>
      </c>
      <c r="CA5" s="74" t="s">
        <v>294</v>
      </c>
      <c r="CB5" s="80" t="s">
        <v>294</v>
      </c>
      <c r="CD5" s="74" t="s">
        <v>294</v>
      </c>
      <c r="CE5" s="74" t="s">
        <v>294</v>
      </c>
      <c r="CF5" s="74" t="s">
        <v>294</v>
      </c>
      <c r="CG5" s="74" t="s">
        <v>294</v>
      </c>
      <c r="CH5" s="74" t="s">
        <v>294</v>
      </c>
      <c r="CI5" s="55"/>
      <c r="CJ5" s="74" t="s">
        <v>294</v>
      </c>
      <c r="CK5" s="80" t="s">
        <v>294</v>
      </c>
      <c r="CL5" s="80" t="s">
        <v>294</v>
      </c>
      <c r="CM5" s="74" t="s">
        <v>294</v>
      </c>
      <c r="CN5" s="74" t="s">
        <v>294</v>
      </c>
      <c r="CO5" s="80" t="s">
        <v>294</v>
      </c>
      <c r="CP5" s="74" t="s">
        <v>294</v>
      </c>
      <c r="CQ5" s="74" t="s">
        <v>294</v>
      </c>
      <c r="CR5" s="74" t="s">
        <v>294</v>
      </c>
      <c r="CS5" s="74" t="s">
        <v>294</v>
      </c>
      <c r="CT5" s="74" t="s">
        <v>294</v>
      </c>
      <c r="CV5" s="74" t="s">
        <v>294</v>
      </c>
      <c r="CW5" s="74" t="s">
        <v>294</v>
      </c>
      <c r="CX5" s="74" t="s">
        <v>294</v>
      </c>
      <c r="CY5" s="74" t="s">
        <v>294</v>
      </c>
      <c r="CZ5" s="74" t="s">
        <v>294</v>
      </c>
      <c r="DA5" s="220"/>
      <c r="DB5" s="74" t="s">
        <v>294</v>
      </c>
      <c r="DC5" s="74" t="s">
        <v>294</v>
      </c>
      <c r="DD5" s="74" t="s">
        <v>294</v>
      </c>
      <c r="DE5" s="74" t="s">
        <v>294</v>
      </c>
      <c r="DF5" s="74" t="s">
        <v>294</v>
      </c>
      <c r="DG5" s="74" t="s">
        <v>294</v>
      </c>
      <c r="DH5" s="74"/>
      <c r="DI5" s="74" t="s">
        <v>294</v>
      </c>
      <c r="DJ5" s="74" t="s">
        <v>294</v>
      </c>
      <c r="DK5" s="74" t="s">
        <v>294</v>
      </c>
      <c r="DL5" s="74" t="s">
        <v>294</v>
      </c>
      <c r="DM5" s="74" t="s">
        <v>294</v>
      </c>
      <c r="DN5" s="74" t="s">
        <v>294</v>
      </c>
      <c r="DO5" s="74"/>
      <c r="DP5" s="74" t="s">
        <v>294</v>
      </c>
      <c r="DQ5" s="74" t="s">
        <v>294</v>
      </c>
      <c r="DR5" s="74" t="s">
        <v>294</v>
      </c>
      <c r="DS5" s="74" t="s">
        <v>294</v>
      </c>
      <c r="DT5" s="74" t="s">
        <v>294</v>
      </c>
      <c r="DU5" s="74"/>
      <c r="DV5" s="74" t="s">
        <v>294</v>
      </c>
      <c r="DW5" s="74" t="s">
        <v>294</v>
      </c>
      <c r="DX5" s="74" t="s">
        <v>294</v>
      </c>
      <c r="DY5" s="74" t="s">
        <v>294</v>
      </c>
      <c r="DZ5" s="74" t="s">
        <v>294</v>
      </c>
      <c r="EA5" s="74" t="s">
        <v>294</v>
      </c>
      <c r="EB5" s="74" t="s">
        <v>294</v>
      </c>
      <c r="EC5" s="74" t="s">
        <v>294</v>
      </c>
      <c r="ED5" s="74" t="s">
        <v>294</v>
      </c>
      <c r="EE5" s="74"/>
      <c r="EF5" s="74" t="s">
        <v>294</v>
      </c>
      <c r="EG5" s="74" t="s">
        <v>294</v>
      </c>
      <c r="EH5" s="74" t="s">
        <v>294</v>
      </c>
      <c r="EI5" s="74" t="s">
        <v>294</v>
      </c>
      <c r="EJ5" s="74" t="s">
        <v>294</v>
      </c>
      <c r="EK5" s="74"/>
      <c r="EL5" s="74" t="s">
        <v>294</v>
      </c>
      <c r="EM5" s="74" t="s">
        <v>294</v>
      </c>
      <c r="EN5" s="74" t="s">
        <v>294</v>
      </c>
      <c r="EO5" s="74" t="s">
        <v>294</v>
      </c>
      <c r="EP5" s="74" t="s">
        <v>294</v>
      </c>
      <c r="EQ5" s="74"/>
      <c r="ER5" s="74" t="s">
        <v>294</v>
      </c>
      <c r="ES5" s="74" t="s">
        <v>294</v>
      </c>
      <c r="ET5" s="74" t="s">
        <v>294</v>
      </c>
      <c r="EU5" s="74" t="s">
        <v>294</v>
      </c>
      <c r="EV5" s="74" t="s">
        <v>294</v>
      </c>
      <c r="EW5" s="74" t="s">
        <v>294</v>
      </c>
      <c r="EX5" s="74" t="s">
        <v>294</v>
      </c>
      <c r="EY5" s="74"/>
      <c r="EZ5" s="74" t="s">
        <v>294</v>
      </c>
      <c r="FA5" s="74" t="s">
        <v>294</v>
      </c>
      <c r="FB5" s="74" t="s">
        <v>294</v>
      </c>
      <c r="FC5" s="74" t="s">
        <v>294</v>
      </c>
      <c r="FD5" s="74" t="s">
        <v>294</v>
      </c>
      <c r="FE5" s="74" t="s">
        <v>294</v>
      </c>
      <c r="FF5" s="74"/>
      <c r="FG5" s="74" t="s">
        <v>294</v>
      </c>
      <c r="FH5" s="80" t="s">
        <v>294</v>
      </c>
      <c r="FI5" s="74" t="s">
        <v>294</v>
      </c>
      <c r="FJ5" s="74" t="s">
        <v>294</v>
      </c>
      <c r="FK5" s="74" t="s">
        <v>294</v>
      </c>
      <c r="FL5" s="74"/>
      <c r="FM5" s="74" t="s">
        <v>294</v>
      </c>
      <c r="FN5" s="74" t="s">
        <v>294</v>
      </c>
      <c r="FO5" s="74" t="s">
        <v>294</v>
      </c>
      <c r="FP5" s="74" t="s">
        <v>294</v>
      </c>
      <c r="FQ5" s="74" t="s">
        <v>294</v>
      </c>
      <c r="FR5" s="74"/>
      <c r="FS5" s="74" t="s">
        <v>294</v>
      </c>
      <c r="FT5" s="74" t="s">
        <v>294</v>
      </c>
      <c r="FU5" s="74" t="s">
        <v>294</v>
      </c>
      <c r="FV5" s="74" t="s">
        <v>294</v>
      </c>
      <c r="FW5" s="74" t="s">
        <v>294</v>
      </c>
      <c r="FX5" s="74" t="s">
        <v>294</v>
      </c>
      <c r="FY5" s="74"/>
      <c r="FZ5" s="74" t="s">
        <v>294</v>
      </c>
      <c r="GA5" s="74" t="s">
        <v>294</v>
      </c>
      <c r="GB5" s="74" t="s">
        <v>294</v>
      </c>
      <c r="GC5" s="74" t="s">
        <v>294</v>
      </c>
      <c r="GD5" s="74" t="s">
        <v>294</v>
      </c>
      <c r="GE5" s="74" t="s">
        <v>294</v>
      </c>
      <c r="GF5" s="74" t="s">
        <v>294</v>
      </c>
      <c r="GG5" s="74"/>
      <c r="GH5" s="74" t="s">
        <v>294</v>
      </c>
      <c r="GI5" s="80" t="s">
        <v>294</v>
      </c>
      <c r="GJ5" s="74" t="s">
        <v>294</v>
      </c>
      <c r="GK5" s="74" t="s">
        <v>294</v>
      </c>
      <c r="GL5" s="74" t="s">
        <v>294</v>
      </c>
      <c r="GM5" s="74"/>
      <c r="GN5" s="74" t="s">
        <v>294</v>
      </c>
      <c r="GO5" s="74" t="s">
        <v>294</v>
      </c>
      <c r="GP5" s="74" t="s">
        <v>294</v>
      </c>
      <c r="GQ5" s="74" t="s">
        <v>294</v>
      </c>
      <c r="GR5" s="74"/>
      <c r="GS5" s="74" t="s">
        <v>294</v>
      </c>
      <c r="GT5" s="74" t="s">
        <v>294</v>
      </c>
      <c r="GU5" s="74" t="s">
        <v>294</v>
      </c>
      <c r="GV5" s="74" t="s">
        <v>294</v>
      </c>
      <c r="GW5" s="74" t="s">
        <v>294</v>
      </c>
      <c r="GX5" s="74" t="s">
        <v>294</v>
      </c>
      <c r="GY5" s="74" t="s">
        <v>294</v>
      </c>
      <c r="GZ5" s="74" t="s">
        <v>294</v>
      </c>
      <c r="HA5" s="74" t="s">
        <v>294</v>
      </c>
      <c r="HB5" s="74" t="s">
        <v>294</v>
      </c>
      <c r="HC5" s="74" t="s">
        <v>294</v>
      </c>
      <c r="HD5" s="74" t="s">
        <v>294</v>
      </c>
      <c r="HE5" s="74"/>
      <c r="HF5" s="74" t="s">
        <v>294</v>
      </c>
      <c r="HG5" s="74" t="s">
        <v>294</v>
      </c>
      <c r="HH5" s="74" t="s">
        <v>294</v>
      </c>
      <c r="HI5" s="74" t="s">
        <v>294</v>
      </c>
      <c r="HJ5" s="74" t="s">
        <v>294</v>
      </c>
      <c r="HK5" s="74" t="s">
        <v>294</v>
      </c>
      <c r="HL5" s="74" t="s">
        <v>294</v>
      </c>
      <c r="HM5" s="74"/>
      <c r="HN5" s="74" t="s">
        <v>294</v>
      </c>
      <c r="HO5" s="74" t="s">
        <v>294</v>
      </c>
      <c r="HP5" s="74" t="s">
        <v>294</v>
      </c>
      <c r="HQ5" s="74" t="s">
        <v>294</v>
      </c>
      <c r="HR5" s="74" t="s">
        <v>294</v>
      </c>
      <c r="HS5" s="74" t="s">
        <v>294</v>
      </c>
      <c r="HT5" s="74"/>
      <c r="HU5" s="74" t="s">
        <v>294</v>
      </c>
      <c r="HV5" s="74" t="s">
        <v>294</v>
      </c>
      <c r="HW5" s="74" t="s">
        <v>294</v>
      </c>
      <c r="HX5" s="74" t="s">
        <v>294</v>
      </c>
      <c r="HY5" s="74" t="s">
        <v>294</v>
      </c>
      <c r="HZ5" s="74" t="s">
        <v>294</v>
      </c>
      <c r="IA5" s="74"/>
      <c r="IB5" s="74" t="s">
        <v>294</v>
      </c>
      <c r="IC5" s="80" t="s">
        <v>294</v>
      </c>
      <c r="ID5" s="80" t="s">
        <v>294</v>
      </c>
      <c r="IE5" s="80" t="s">
        <v>294</v>
      </c>
      <c r="IF5" s="74" t="s">
        <v>294</v>
      </c>
      <c r="IG5" s="74" t="s">
        <v>294</v>
      </c>
      <c r="IH5" s="74"/>
      <c r="II5" s="74" t="s">
        <v>294</v>
      </c>
      <c r="IJ5" s="74" t="s">
        <v>294</v>
      </c>
      <c r="IK5" s="74" t="s">
        <v>294</v>
      </c>
      <c r="IL5" s="74" t="s">
        <v>294</v>
      </c>
      <c r="IM5" s="74" t="s">
        <v>294</v>
      </c>
      <c r="IN5" s="74"/>
      <c r="IO5" s="74" t="s">
        <v>294</v>
      </c>
      <c r="IP5" s="74" t="s">
        <v>294</v>
      </c>
      <c r="IQ5" s="74" t="s">
        <v>294</v>
      </c>
      <c r="IR5" s="74" t="s">
        <v>294</v>
      </c>
      <c r="IS5" s="74" t="s">
        <v>294</v>
      </c>
      <c r="IT5" s="74" t="s">
        <v>294</v>
      </c>
      <c r="IU5" s="74" t="s">
        <v>294</v>
      </c>
      <c r="IV5" s="74"/>
      <c r="IW5" s="74" t="s">
        <v>294</v>
      </c>
      <c r="IX5" s="74" t="s">
        <v>294</v>
      </c>
      <c r="IY5" s="74" t="s">
        <v>294</v>
      </c>
      <c r="IZ5" s="74" t="s">
        <v>294</v>
      </c>
      <c r="JA5" s="74" t="s">
        <v>294</v>
      </c>
      <c r="JB5" s="74"/>
      <c r="JC5" s="74" t="s">
        <v>294</v>
      </c>
      <c r="JD5" s="74" t="s">
        <v>294</v>
      </c>
      <c r="JE5" s="74" t="s">
        <v>294</v>
      </c>
      <c r="JF5" s="80" t="s">
        <v>294</v>
      </c>
      <c r="JG5" s="80" t="s">
        <v>294</v>
      </c>
      <c r="JH5" s="80" t="s">
        <v>294</v>
      </c>
      <c r="JI5" s="80" t="s">
        <v>294</v>
      </c>
      <c r="JJ5" s="74" t="s">
        <v>294</v>
      </c>
      <c r="JK5" s="74" t="s">
        <v>294</v>
      </c>
      <c r="JL5" s="74"/>
      <c r="JM5" s="74" t="s">
        <v>294</v>
      </c>
      <c r="JN5" s="74" t="s">
        <v>294</v>
      </c>
      <c r="JO5" s="74" t="s">
        <v>294</v>
      </c>
      <c r="JP5" s="74"/>
      <c r="JQ5" s="74" t="s">
        <v>294</v>
      </c>
      <c r="JR5" s="74" t="s">
        <v>294</v>
      </c>
      <c r="JS5" s="74" t="s">
        <v>294</v>
      </c>
      <c r="JT5" s="74" t="s">
        <v>294</v>
      </c>
      <c r="JU5" s="74" t="s">
        <v>294</v>
      </c>
      <c r="JV5" s="74" t="s">
        <v>294</v>
      </c>
    </row>
    <row r="6" spans="1:282" x14ac:dyDescent="0.15">
      <c r="A6" s="95" t="s">
        <v>622</v>
      </c>
      <c r="B6" s="6" t="s">
        <v>576</v>
      </c>
      <c r="C6" s="6">
        <v>50000</v>
      </c>
      <c r="D6" s="6">
        <v>11</v>
      </c>
      <c r="E6" s="6">
        <v>6</v>
      </c>
      <c r="F6" s="6">
        <v>3</v>
      </c>
      <c r="G6" s="6" t="s">
        <v>36</v>
      </c>
      <c r="H6" s="6" t="s">
        <v>37</v>
      </c>
      <c r="I6" s="6" t="s">
        <v>38</v>
      </c>
      <c r="J6" s="21" t="s">
        <v>583</v>
      </c>
      <c r="K6" s="21">
        <v>1</v>
      </c>
      <c r="L6" s="21">
        <v>2</v>
      </c>
      <c r="M6" s="21">
        <v>2</v>
      </c>
      <c r="N6" s="21">
        <v>0</v>
      </c>
      <c r="O6" s="21">
        <v>0</v>
      </c>
      <c r="P6" s="23" t="str">
        <f>IF(TeamT[[#This Row],[General]]+TeamT[[#This Row],[Agility]]+TeamT[[#This Row],[Strength]]+TeamT[[#This Row],[Passing]]+TeamT[[#This Row],[Mutation]]&gt;0,IF(TeamT[[#This Row],[General]]=1,"G","")&amp;IF(TeamT[[#This Row],[Agility]]=1,"A","")&amp;IF(TeamT[[#This Row],[Strength]]=1,"S","")&amp;IF(TeamT[[#This Row],[Passing]]=1,"P","")&amp;IF(TeamT[[#This Row],[Mutation]]=1,"M",""),"Star")</f>
        <v>G</v>
      </c>
      <c r="Q6" s="23" t="str">
        <f>IF(TeamT[[#This Row],[General]]=2,"G","")&amp;IF(TeamT[[#This Row],[Agility]]=2,"A","")&amp;IF(TeamT[[#This Row],[Strength]]=2,"S","")&amp;IF(TeamT[[#This Row],[Passing]]=2,"P","")&amp;IF(TeamT[[#This Row],[Mutation]]=2,"M","")</f>
        <v>AS</v>
      </c>
      <c r="R6" s="212"/>
      <c r="S6" s="21">
        <v>3</v>
      </c>
      <c r="T6" s="21">
        <v>4</v>
      </c>
      <c r="U6" s="21">
        <v>8</v>
      </c>
      <c r="AA6" s="76" t="e">
        <f>HLOOKUP(Roster!$E$5,Team!$BL$2:$MK$128,5,FALSE)</f>
        <v>#N/A</v>
      </c>
      <c r="AB6" s="76" t="e">
        <f>HLOOKUP(Roster!$E$6,Team!$BL$2:$MK$128,5,FALSE)</f>
        <v>#N/A</v>
      </c>
      <c r="AC6" s="76" t="e">
        <f>HLOOKUP(Roster!$E$7,Team!$BL$2:$MK$128,5,FALSE)</f>
        <v>#N/A</v>
      </c>
      <c r="AD6" s="76" t="e">
        <f>HLOOKUP(Roster!$E$8,Team!$BL$2:$MK$128,5,FALSE)</f>
        <v>#N/A</v>
      </c>
      <c r="AE6" s="76" t="e">
        <f>HLOOKUP(Roster!$E$9,Team!$BL$2:$MK$128,5,FALSE)</f>
        <v>#N/A</v>
      </c>
      <c r="AF6" s="76" t="e">
        <f>HLOOKUP(Roster!$E$10,Team!$BL$2:$MK$128,5,FALSE)</f>
        <v>#N/A</v>
      </c>
      <c r="AG6" s="76" t="e">
        <f>HLOOKUP(Roster!$E$11,Team!$BL$2:$MK$128,5,FALSE)</f>
        <v>#N/A</v>
      </c>
      <c r="AH6" s="76" t="e">
        <f>HLOOKUP(Roster!$E$12,Team!$BL$2:$MK$128,5,FALSE)</f>
        <v>#N/A</v>
      </c>
      <c r="AI6" s="76" t="e">
        <f>HLOOKUP(Roster!$E$13,Team!$BL$2:$MK$128,5,FALSE)</f>
        <v>#N/A</v>
      </c>
      <c r="AJ6" s="76" t="e">
        <f>HLOOKUP(Roster!$E$14,Team!$BL$2:$MK$128,5,FALSE)</f>
        <v>#N/A</v>
      </c>
      <c r="AK6" s="76" t="e">
        <f>HLOOKUP(Roster!$E$15,Team!$BL$2:$MK$128,5,FALSE)</f>
        <v>#N/A</v>
      </c>
      <c r="AL6" s="76" t="e">
        <f>HLOOKUP(Roster!$E$16,Team!$BL$2:$MK$128,5,FALSE)</f>
        <v>#N/A</v>
      </c>
      <c r="AM6" s="76" t="e">
        <f>HLOOKUP(Roster!$E$17,Team!$BL$2:$MK$128,5,FALSE)</f>
        <v>#N/A</v>
      </c>
      <c r="AN6" s="76" t="e">
        <f>HLOOKUP(Roster!$E$18,Team!$BL$2:$MK$128,5,FALSE)</f>
        <v>#N/A</v>
      </c>
      <c r="AO6" s="76" t="e">
        <f>HLOOKUP(Roster!$E$19,Team!$BL$2:$MK$128,5,FALSE)</f>
        <v>#N/A</v>
      </c>
      <c r="AP6" s="76" t="e">
        <f>HLOOKUP(Roster!$E$20,Team!$BL$2:$MK$128,5,FALSE)</f>
        <v>#N/A</v>
      </c>
      <c r="AR6" s="108">
        <f t="shared" si="1"/>
        <v>0</v>
      </c>
      <c r="AS6" s="108">
        <f t="shared" si="2"/>
        <v>0</v>
      </c>
      <c r="AT6" s="108">
        <f t="shared" si="3"/>
        <v>0</v>
      </c>
      <c r="AU6" s="108">
        <f t="shared" si="4"/>
        <v>0</v>
      </c>
      <c r="AV6" s="108">
        <f t="shared" si="5"/>
        <v>0</v>
      </c>
      <c r="AW6" s="108">
        <f t="shared" si="6"/>
        <v>0</v>
      </c>
      <c r="AX6" s="108">
        <f t="shared" si="7"/>
        <v>0</v>
      </c>
      <c r="AY6" s="108">
        <f t="shared" si="8"/>
        <v>0</v>
      </c>
      <c r="AZ6" s="108">
        <f t="shared" si="9"/>
        <v>0</v>
      </c>
      <c r="BA6" s="108">
        <f t="shared" si="10"/>
        <v>0</v>
      </c>
      <c r="BB6" s="108">
        <f t="shared" si="11"/>
        <v>0</v>
      </c>
      <c r="BC6" s="108">
        <f t="shared" si="12"/>
        <v>0</v>
      </c>
      <c r="BD6" s="108">
        <f t="shared" si="13"/>
        <v>0</v>
      </c>
      <c r="BE6" s="108">
        <f t="shared" si="14"/>
        <v>0</v>
      </c>
      <c r="BF6" s="108">
        <f t="shared" si="15"/>
        <v>0</v>
      </c>
      <c r="BG6" s="108">
        <f t="shared" si="16"/>
        <v>0</v>
      </c>
      <c r="BL6" s="74" t="s">
        <v>295</v>
      </c>
      <c r="BM6" s="74" t="s">
        <v>295</v>
      </c>
      <c r="BN6" s="74" t="s">
        <v>295</v>
      </c>
      <c r="BO6" s="74" t="s">
        <v>295</v>
      </c>
      <c r="BP6" s="74" t="s">
        <v>295</v>
      </c>
      <c r="BQ6" s="74"/>
      <c r="BR6" s="74" t="s">
        <v>295</v>
      </c>
      <c r="BS6" s="74" t="s">
        <v>295</v>
      </c>
      <c r="BT6" s="74" t="s">
        <v>295</v>
      </c>
      <c r="BU6" s="74" t="s">
        <v>295</v>
      </c>
      <c r="BV6" s="74"/>
      <c r="BW6" s="80" t="s">
        <v>295</v>
      </c>
      <c r="BX6" s="74" t="s">
        <v>295</v>
      </c>
      <c r="BY6" s="74" t="s">
        <v>295</v>
      </c>
      <c r="BZ6" s="74" t="s">
        <v>295</v>
      </c>
      <c r="CA6" s="74" t="s">
        <v>295</v>
      </c>
      <c r="CB6" s="80" t="s">
        <v>295</v>
      </c>
      <c r="CD6" s="74" t="s">
        <v>295</v>
      </c>
      <c r="CE6" s="74" t="s">
        <v>295</v>
      </c>
      <c r="CF6" s="74" t="s">
        <v>295</v>
      </c>
      <c r="CG6" s="74" t="s">
        <v>295</v>
      </c>
      <c r="CH6" s="74" t="s">
        <v>295</v>
      </c>
      <c r="CI6" s="55"/>
      <c r="CJ6" s="74" t="s">
        <v>295</v>
      </c>
      <c r="CK6" s="80" t="s">
        <v>295</v>
      </c>
      <c r="CL6" s="80" t="s">
        <v>295</v>
      </c>
      <c r="CM6" s="74" t="s">
        <v>295</v>
      </c>
      <c r="CN6" s="74" t="s">
        <v>295</v>
      </c>
      <c r="CO6" s="80" t="s">
        <v>295</v>
      </c>
      <c r="CP6" s="74" t="s">
        <v>295</v>
      </c>
      <c r="CQ6" s="74" t="s">
        <v>295</v>
      </c>
      <c r="CR6" s="74" t="s">
        <v>295</v>
      </c>
      <c r="CS6" s="74" t="s">
        <v>295</v>
      </c>
      <c r="CT6" s="74" t="s">
        <v>295</v>
      </c>
      <c r="CV6" s="74" t="s">
        <v>295</v>
      </c>
      <c r="CW6" s="74" t="s">
        <v>295</v>
      </c>
      <c r="CX6" s="74" t="s">
        <v>295</v>
      </c>
      <c r="CY6" s="74" t="s">
        <v>295</v>
      </c>
      <c r="CZ6" s="74" t="s">
        <v>295</v>
      </c>
      <c r="DA6" s="220"/>
      <c r="DB6" s="74" t="s">
        <v>295</v>
      </c>
      <c r="DC6" s="74" t="s">
        <v>295</v>
      </c>
      <c r="DD6" s="74" t="s">
        <v>295</v>
      </c>
      <c r="DE6" s="74" t="s">
        <v>295</v>
      </c>
      <c r="DF6" s="74" t="s">
        <v>295</v>
      </c>
      <c r="DG6" s="74" t="s">
        <v>295</v>
      </c>
      <c r="DH6" s="74"/>
      <c r="DI6" s="74" t="s">
        <v>295</v>
      </c>
      <c r="DJ6" s="74" t="s">
        <v>295</v>
      </c>
      <c r="DK6" s="74" t="s">
        <v>295</v>
      </c>
      <c r="DL6" s="74" t="s">
        <v>295</v>
      </c>
      <c r="DM6" s="74" t="s">
        <v>295</v>
      </c>
      <c r="DN6" s="74" t="s">
        <v>295</v>
      </c>
      <c r="DO6" s="74"/>
      <c r="DP6" s="74" t="s">
        <v>295</v>
      </c>
      <c r="DQ6" s="74" t="s">
        <v>295</v>
      </c>
      <c r="DR6" s="74" t="s">
        <v>295</v>
      </c>
      <c r="DS6" s="74" t="s">
        <v>295</v>
      </c>
      <c r="DT6" s="74" t="s">
        <v>295</v>
      </c>
      <c r="DU6" s="74"/>
      <c r="DV6" s="74" t="s">
        <v>295</v>
      </c>
      <c r="DW6" s="74" t="s">
        <v>295</v>
      </c>
      <c r="DX6" s="74" t="s">
        <v>295</v>
      </c>
      <c r="DY6" s="74" t="s">
        <v>295</v>
      </c>
      <c r="DZ6" s="74" t="s">
        <v>295</v>
      </c>
      <c r="EA6" s="74" t="s">
        <v>295</v>
      </c>
      <c r="EB6" s="74" t="s">
        <v>295</v>
      </c>
      <c r="EC6" s="74" t="s">
        <v>295</v>
      </c>
      <c r="ED6" s="74" t="s">
        <v>295</v>
      </c>
      <c r="EE6" s="74"/>
      <c r="EF6" s="74" t="s">
        <v>295</v>
      </c>
      <c r="EG6" s="74" t="s">
        <v>295</v>
      </c>
      <c r="EH6" s="74" t="s">
        <v>295</v>
      </c>
      <c r="EI6" s="74" t="s">
        <v>295</v>
      </c>
      <c r="EJ6" s="74" t="s">
        <v>295</v>
      </c>
      <c r="EK6" s="74"/>
      <c r="EL6" s="74" t="s">
        <v>295</v>
      </c>
      <c r="EM6" s="74" t="s">
        <v>295</v>
      </c>
      <c r="EN6" s="74" t="s">
        <v>295</v>
      </c>
      <c r="EO6" s="74" t="s">
        <v>295</v>
      </c>
      <c r="EP6" s="74" t="s">
        <v>295</v>
      </c>
      <c r="EQ6" s="74"/>
      <c r="ER6" s="74" t="s">
        <v>295</v>
      </c>
      <c r="ES6" s="74" t="s">
        <v>295</v>
      </c>
      <c r="ET6" s="74" t="s">
        <v>295</v>
      </c>
      <c r="EU6" s="74" t="s">
        <v>295</v>
      </c>
      <c r="EV6" s="74" t="s">
        <v>295</v>
      </c>
      <c r="EW6" s="74" t="s">
        <v>295</v>
      </c>
      <c r="EX6" s="74" t="s">
        <v>295</v>
      </c>
      <c r="EY6" s="74"/>
      <c r="EZ6" s="74" t="s">
        <v>295</v>
      </c>
      <c r="FA6" s="74" t="s">
        <v>295</v>
      </c>
      <c r="FB6" s="74" t="s">
        <v>295</v>
      </c>
      <c r="FC6" s="74" t="s">
        <v>295</v>
      </c>
      <c r="FD6" s="74" t="s">
        <v>295</v>
      </c>
      <c r="FE6" s="74" t="s">
        <v>295</v>
      </c>
      <c r="FF6" s="74"/>
      <c r="FG6" s="74" t="s">
        <v>295</v>
      </c>
      <c r="FH6" s="80" t="s">
        <v>295</v>
      </c>
      <c r="FI6" s="74" t="s">
        <v>295</v>
      </c>
      <c r="FJ6" s="74" t="s">
        <v>295</v>
      </c>
      <c r="FK6" s="74" t="s">
        <v>295</v>
      </c>
      <c r="FL6" s="74"/>
      <c r="FM6" s="74" t="s">
        <v>295</v>
      </c>
      <c r="FN6" s="74" t="s">
        <v>295</v>
      </c>
      <c r="FO6" s="74" t="s">
        <v>295</v>
      </c>
      <c r="FP6" s="74" t="s">
        <v>295</v>
      </c>
      <c r="FQ6" s="74" t="s">
        <v>295</v>
      </c>
      <c r="FR6" s="74"/>
      <c r="FS6" s="74" t="s">
        <v>295</v>
      </c>
      <c r="FT6" s="74" t="s">
        <v>295</v>
      </c>
      <c r="FU6" s="74" t="s">
        <v>295</v>
      </c>
      <c r="FV6" s="74" t="s">
        <v>295</v>
      </c>
      <c r="FW6" s="74" t="s">
        <v>295</v>
      </c>
      <c r="FX6" s="74" t="s">
        <v>295</v>
      </c>
      <c r="FY6" s="74"/>
      <c r="FZ6" s="74" t="s">
        <v>295</v>
      </c>
      <c r="GA6" s="74" t="s">
        <v>295</v>
      </c>
      <c r="GB6" s="74" t="s">
        <v>295</v>
      </c>
      <c r="GC6" s="74" t="s">
        <v>295</v>
      </c>
      <c r="GD6" s="74" t="s">
        <v>295</v>
      </c>
      <c r="GE6" s="74" t="s">
        <v>295</v>
      </c>
      <c r="GF6" s="74" t="s">
        <v>295</v>
      </c>
      <c r="GG6" s="74"/>
      <c r="GH6" s="74" t="s">
        <v>295</v>
      </c>
      <c r="GI6" s="80" t="s">
        <v>295</v>
      </c>
      <c r="GJ6" s="74" t="s">
        <v>295</v>
      </c>
      <c r="GK6" s="74" t="s">
        <v>295</v>
      </c>
      <c r="GL6" s="74" t="s">
        <v>295</v>
      </c>
      <c r="GM6" s="74"/>
      <c r="GN6" s="74" t="s">
        <v>295</v>
      </c>
      <c r="GO6" s="74" t="s">
        <v>295</v>
      </c>
      <c r="GP6" s="74" t="s">
        <v>295</v>
      </c>
      <c r="GQ6" s="74" t="s">
        <v>295</v>
      </c>
      <c r="GR6" s="74"/>
      <c r="GS6" s="74" t="s">
        <v>295</v>
      </c>
      <c r="GT6" s="74" t="s">
        <v>295</v>
      </c>
      <c r="GU6" s="74" t="s">
        <v>295</v>
      </c>
      <c r="GV6" s="74" t="s">
        <v>295</v>
      </c>
      <c r="GW6" s="74" t="s">
        <v>295</v>
      </c>
      <c r="GX6" s="74" t="s">
        <v>295</v>
      </c>
      <c r="GY6" s="74" t="s">
        <v>295</v>
      </c>
      <c r="GZ6" s="74" t="s">
        <v>295</v>
      </c>
      <c r="HA6" s="74" t="s">
        <v>295</v>
      </c>
      <c r="HB6" s="74" t="s">
        <v>295</v>
      </c>
      <c r="HC6" s="74" t="s">
        <v>295</v>
      </c>
      <c r="HD6" s="74" t="s">
        <v>295</v>
      </c>
      <c r="HE6" s="74"/>
      <c r="HF6" s="74" t="s">
        <v>295</v>
      </c>
      <c r="HG6" s="74" t="s">
        <v>295</v>
      </c>
      <c r="HH6" s="74" t="s">
        <v>295</v>
      </c>
      <c r="HI6" s="74" t="s">
        <v>295</v>
      </c>
      <c r="HJ6" s="74" t="s">
        <v>295</v>
      </c>
      <c r="HK6" s="74" t="s">
        <v>295</v>
      </c>
      <c r="HL6" s="74" t="s">
        <v>295</v>
      </c>
      <c r="HM6" s="74"/>
      <c r="HN6" s="74" t="s">
        <v>295</v>
      </c>
      <c r="HO6" s="74" t="s">
        <v>295</v>
      </c>
      <c r="HP6" s="74" t="s">
        <v>295</v>
      </c>
      <c r="HQ6" s="74" t="s">
        <v>295</v>
      </c>
      <c r="HR6" s="74" t="s">
        <v>295</v>
      </c>
      <c r="HS6" s="74" t="s">
        <v>295</v>
      </c>
      <c r="HT6" s="74"/>
      <c r="HU6" s="74" t="s">
        <v>295</v>
      </c>
      <c r="HV6" s="74" t="s">
        <v>295</v>
      </c>
      <c r="HW6" s="74" t="s">
        <v>295</v>
      </c>
      <c r="HX6" s="74" t="s">
        <v>295</v>
      </c>
      <c r="HY6" s="74" t="s">
        <v>295</v>
      </c>
      <c r="HZ6" s="74" t="s">
        <v>295</v>
      </c>
      <c r="IA6" s="74"/>
      <c r="IB6" s="74" t="s">
        <v>295</v>
      </c>
      <c r="IC6" s="80" t="s">
        <v>295</v>
      </c>
      <c r="ID6" s="80" t="s">
        <v>295</v>
      </c>
      <c r="IE6" s="80" t="s">
        <v>295</v>
      </c>
      <c r="IF6" s="74" t="s">
        <v>295</v>
      </c>
      <c r="IG6" s="74" t="s">
        <v>295</v>
      </c>
      <c r="IH6" s="74"/>
      <c r="II6" s="74" t="s">
        <v>295</v>
      </c>
      <c r="IJ6" s="74" t="s">
        <v>295</v>
      </c>
      <c r="IK6" s="74" t="s">
        <v>295</v>
      </c>
      <c r="IL6" s="74" t="s">
        <v>295</v>
      </c>
      <c r="IM6" s="74" t="s">
        <v>295</v>
      </c>
      <c r="IN6" s="74"/>
      <c r="IO6" s="74" t="s">
        <v>295</v>
      </c>
      <c r="IP6" s="74" t="s">
        <v>295</v>
      </c>
      <c r="IQ6" s="74" t="s">
        <v>295</v>
      </c>
      <c r="IR6" s="74" t="s">
        <v>295</v>
      </c>
      <c r="IS6" s="74" t="s">
        <v>295</v>
      </c>
      <c r="IT6" s="74" t="s">
        <v>295</v>
      </c>
      <c r="IU6" s="74" t="s">
        <v>295</v>
      </c>
      <c r="IV6" s="74"/>
      <c r="IW6" s="74" t="s">
        <v>295</v>
      </c>
      <c r="IX6" s="74" t="s">
        <v>295</v>
      </c>
      <c r="IY6" s="74" t="s">
        <v>295</v>
      </c>
      <c r="IZ6" s="74" t="s">
        <v>295</v>
      </c>
      <c r="JA6" s="74" t="s">
        <v>295</v>
      </c>
      <c r="JB6" s="74"/>
      <c r="JC6" s="74" t="s">
        <v>295</v>
      </c>
      <c r="JD6" s="74" t="s">
        <v>295</v>
      </c>
      <c r="JE6" s="74" t="s">
        <v>295</v>
      </c>
      <c r="JF6" s="80" t="s">
        <v>295</v>
      </c>
      <c r="JG6" s="80" t="s">
        <v>295</v>
      </c>
      <c r="JH6" s="80" t="s">
        <v>295</v>
      </c>
      <c r="JI6" s="80" t="s">
        <v>295</v>
      </c>
      <c r="JJ6" s="74" t="s">
        <v>295</v>
      </c>
      <c r="JK6" s="74" t="s">
        <v>295</v>
      </c>
      <c r="JL6" s="74"/>
      <c r="JM6" s="74" t="s">
        <v>295</v>
      </c>
      <c r="JN6" s="74" t="s">
        <v>295</v>
      </c>
      <c r="JO6" s="74" t="s">
        <v>295</v>
      </c>
      <c r="JP6" s="74"/>
      <c r="JQ6" s="74" t="s">
        <v>295</v>
      </c>
      <c r="JR6" s="74" t="s">
        <v>295</v>
      </c>
      <c r="JS6" s="74" t="s">
        <v>295</v>
      </c>
      <c r="JT6" s="74" t="s">
        <v>295</v>
      </c>
      <c r="JU6" s="74" t="s">
        <v>295</v>
      </c>
      <c r="JV6" s="74" t="s">
        <v>295</v>
      </c>
    </row>
    <row r="7" spans="1:282" x14ac:dyDescent="0.15">
      <c r="A7" s="214" t="s">
        <v>492</v>
      </c>
      <c r="B7" s="6" t="s">
        <v>35</v>
      </c>
      <c r="C7" s="6">
        <v>45000</v>
      </c>
      <c r="D7" s="6">
        <v>12</v>
      </c>
      <c r="E7" s="6">
        <v>6</v>
      </c>
      <c r="F7" s="6">
        <v>2</v>
      </c>
      <c r="G7" s="6" t="s">
        <v>36</v>
      </c>
      <c r="H7" s="6" t="s">
        <v>37</v>
      </c>
      <c r="I7" s="6" t="s">
        <v>38</v>
      </c>
      <c r="J7" s="21" t="s">
        <v>39</v>
      </c>
      <c r="K7" s="21">
        <v>2</v>
      </c>
      <c r="L7" s="21">
        <v>1</v>
      </c>
      <c r="M7" s="21">
        <v>2</v>
      </c>
      <c r="N7" s="21">
        <v>2</v>
      </c>
      <c r="O7" s="21">
        <v>0</v>
      </c>
      <c r="P7" s="21" t="str">
        <f>IF(TeamT[[#This Row],[General]]+TeamT[[#This Row],[Agility]]+TeamT[[#This Row],[Strength]]+TeamT[[#This Row],[Passing]]+TeamT[[#This Row],[Mutation]]&gt;0,IF(TeamT[[#This Row],[General]]=1,"G","")&amp;IF(TeamT[[#This Row],[Agility]]=1,"A","")&amp;IF(TeamT[[#This Row],[Strength]]=1,"S","")&amp;IF(TeamT[[#This Row],[Passing]]=1,"P","")&amp;IF(TeamT[[#This Row],[Mutation]]=1,"M",""),"Star")</f>
        <v>A</v>
      </c>
      <c r="Q7" s="21" t="str">
        <f>IF(TeamT[[#This Row],[General]]=2,"G","")&amp;IF(TeamT[[#This Row],[Agility]]=2,"A","")&amp;IF(TeamT[[#This Row],[Strength]]=2,"S","")&amp;IF(TeamT[[#This Row],[Passing]]=2,"P","")&amp;IF(TeamT[[#This Row],[Mutation]]=2,"M","")</f>
        <v>GSP</v>
      </c>
      <c r="R7" s="212"/>
      <c r="S7" s="21">
        <v>3</v>
      </c>
      <c r="T7" s="21">
        <v>4</v>
      </c>
      <c r="U7" s="21">
        <v>8</v>
      </c>
      <c r="AA7" s="76" t="e">
        <f>HLOOKUP(Roster!$E$5,Team!$BL$2:$MK$128,6,FALSE)</f>
        <v>#N/A</v>
      </c>
      <c r="AB7" s="76" t="e">
        <f>HLOOKUP(Roster!$E$6,Team!$BL$2:$MK$128,6,FALSE)</f>
        <v>#N/A</v>
      </c>
      <c r="AC7" s="76" t="e">
        <f>HLOOKUP(Roster!$E$7,Team!$BL$2:$MK$128,6,FALSE)</f>
        <v>#N/A</v>
      </c>
      <c r="AD7" s="76" t="e">
        <f>HLOOKUP(Roster!$E$8,Team!$BL$2:$MK$128,6,FALSE)</f>
        <v>#N/A</v>
      </c>
      <c r="AE7" s="76" t="e">
        <f>HLOOKUP(Roster!$E$9,Team!$BL$2:$MK$128,6,FALSE)</f>
        <v>#N/A</v>
      </c>
      <c r="AF7" s="76" t="e">
        <f>HLOOKUP(Roster!$E$10,Team!$BL$2:$MK$128,6,FALSE)</f>
        <v>#N/A</v>
      </c>
      <c r="AG7" s="76" t="e">
        <f>HLOOKUP(Roster!$E$11,Team!$BL$2:$MK$128,6,FALSE)</f>
        <v>#N/A</v>
      </c>
      <c r="AH7" s="76" t="e">
        <f>HLOOKUP(Roster!$E$12,Team!$BL$2:$MK$128,6,FALSE)</f>
        <v>#N/A</v>
      </c>
      <c r="AI7" s="76" t="e">
        <f>HLOOKUP(Roster!$E$13,Team!$BL$2:$MK$128,6,FALSE)</f>
        <v>#N/A</v>
      </c>
      <c r="AJ7" s="76" t="e">
        <f>HLOOKUP(Roster!$E$14,Team!$BL$2:$MK$128,6,FALSE)</f>
        <v>#N/A</v>
      </c>
      <c r="AK7" s="76" t="e">
        <f>HLOOKUP(Roster!$E$15,Team!$BL$2:$MK$128,6,FALSE)</f>
        <v>#N/A</v>
      </c>
      <c r="AL7" s="76" t="e">
        <f>HLOOKUP(Roster!$E$16,Team!$BL$2:$MK$128,6,FALSE)</f>
        <v>#N/A</v>
      </c>
      <c r="AM7" s="76" t="e">
        <f>HLOOKUP(Roster!$E$17,Team!$BL$2:$MK$128,6,FALSE)</f>
        <v>#N/A</v>
      </c>
      <c r="AN7" s="76" t="e">
        <f>HLOOKUP(Roster!$E$18,Team!$BL$2:$MK$128,6,FALSE)</f>
        <v>#N/A</v>
      </c>
      <c r="AO7" s="76" t="e">
        <f>HLOOKUP(Roster!$E$19,Team!$BL$2:$MK$128,6,FALSE)</f>
        <v>#N/A</v>
      </c>
      <c r="AP7" s="76" t="e">
        <f>HLOOKUP(Roster!$E$20,Team!$BL$2:$MK$128,6,FALSE)</f>
        <v>#N/A</v>
      </c>
      <c r="AR7" s="108">
        <f t="shared" si="1"/>
        <v>0</v>
      </c>
      <c r="AS7" s="108">
        <f t="shared" si="2"/>
        <v>0</v>
      </c>
      <c r="AT7" s="108">
        <f t="shared" si="3"/>
        <v>0</v>
      </c>
      <c r="AU7" s="108">
        <f t="shared" si="4"/>
        <v>0</v>
      </c>
      <c r="AV7" s="108">
        <f t="shared" si="5"/>
        <v>0</v>
      </c>
      <c r="AW7" s="108">
        <f t="shared" si="6"/>
        <v>0</v>
      </c>
      <c r="AX7" s="108">
        <f t="shared" si="7"/>
        <v>0</v>
      </c>
      <c r="AY7" s="108">
        <f t="shared" si="8"/>
        <v>0</v>
      </c>
      <c r="AZ7" s="108">
        <f t="shared" si="9"/>
        <v>0</v>
      </c>
      <c r="BA7" s="108">
        <f t="shared" si="10"/>
        <v>0</v>
      </c>
      <c r="BB7" s="108">
        <f t="shared" si="11"/>
        <v>0</v>
      </c>
      <c r="BC7" s="108">
        <f t="shared" si="12"/>
        <v>0</v>
      </c>
      <c r="BD7" s="108">
        <f t="shared" si="13"/>
        <v>0</v>
      </c>
      <c r="BE7" s="108">
        <f t="shared" si="14"/>
        <v>0</v>
      </c>
      <c r="BF7" s="108">
        <f t="shared" si="15"/>
        <v>0</v>
      </c>
      <c r="BG7" s="108">
        <f t="shared" si="16"/>
        <v>0</v>
      </c>
      <c r="BL7" s="74" t="s">
        <v>296</v>
      </c>
      <c r="BM7" s="74" t="s">
        <v>296</v>
      </c>
      <c r="BN7" s="74" t="s">
        <v>296</v>
      </c>
      <c r="BO7" s="74" t="s">
        <v>296</v>
      </c>
      <c r="BP7" s="74" t="s">
        <v>296</v>
      </c>
      <c r="BQ7" s="74"/>
      <c r="BR7" s="74" t="s">
        <v>296</v>
      </c>
      <c r="BS7" s="74" t="s">
        <v>296</v>
      </c>
      <c r="BT7" s="74" t="s">
        <v>296</v>
      </c>
      <c r="BU7" s="74" t="s">
        <v>296</v>
      </c>
      <c r="BV7" s="74"/>
      <c r="BW7" s="80" t="s">
        <v>296</v>
      </c>
      <c r="BX7" s="74" t="s">
        <v>296</v>
      </c>
      <c r="BY7" s="74" t="s">
        <v>296</v>
      </c>
      <c r="BZ7" s="74" t="s">
        <v>296</v>
      </c>
      <c r="CA7" s="74" t="s">
        <v>296</v>
      </c>
      <c r="CB7" s="80" t="s">
        <v>296</v>
      </c>
      <c r="CD7" s="74" t="s">
        <v>296</v>
      </c>
      <c r="CE7" s="74" t="s">
        <v>296</v>
      </c>
      <c r="CF7" s="74" t="s">
        <v>296</v>
      </c>
      <c r="CG7" s="74" t="s">
        <v>296</v>
      </c>
      <c r="CH7" s="74" t="s">
        <v>296</v>
      </c>
      <c r="CI7" s="55"/>
      <c r="CJ7" s="74" t="s">
        <v>296</v>
      </c>
      <c r="CK7" s="80" t="s">
        <v>296</v>
      </c>
      <c r="CL7" s="80" t="s">
        <v>296</v>
      </c>
      <c r="CM7" s="74" t="s">
        <v>296</v>
      </c>
      <c r="CN7" s="74" t="s">
        <v>296</v>
      </c>
      <c r="CO7" s="80" t="s">
        <v>296</v>
      </c>
      <c r="CP7" s="74" t="s">
        <v>296</v>
      </c>
      <c r="CQ7" s="74" t="s">
        <v>296</v>
      </c>
      <c r="CR7" s="74" t="s">
        <v>296</v>
      </c>
      <c r="CS7" s="74" t="s">
        <v>296</v>
      </c>
      <c r="CT7" s="74" t="s">
        <v>296</v>
      </c>
      <c r="CV7" s="74" t="s">
        <v>296</v>
      </c>
      <c r="CW7" s="74" t="s">
        <v>296</v>
      </c>
      <c r="CX7" s="74" t="s">
        <v>296</v>
      </c>
      <c r="CY7" s="74" t="s">
        <v>296</v>
      </c>
      <c r="CZ7" s="74" t="s">
        <v>296</v>
      </c>
      <c r="DA7" s="220"/>
      <c r="DB7" s="74" t="s">
        <v>296</v>
      </c>
      <c r="DC7" s="74" t="s">
        <v>296</v>
      </c>
      <c r="DD7" s="74" t="s">
        <v>296</v>
      </c>
      <c r="DE7" s="74" t="s">
        <v>296</v>
      </c>
      <c r="DF7" s="74" t="s">
        <v>296</v>
      </c>
      <c r="DG7" s="74" t="s">
        <v>296</v>
      </c>
      <c r="DH7" s="74"/>
      <c r="DI7" s="74" t="s">
        <v>296</v>
      </c>
      <c r="DJ7" s="74" t="s">
        <v>296</v>
      </c>
      <c r="DK7" s="74" t="s">
        <v>296</v>
      </c>
      <c r="DL7" s="74" t="s">
        <v>296</v>
      </c>
      <c r="DM7" s="74" t="s">
        <v>296</v>
      </c>
      <c r="DN7" s="74" t="s">
        <v>296</v>
      </c>
      <c r="DO7" s="74"/>
      <c r="DP7" s="74" t="s">
        <v>296</v>
      </c>
      <c r="DQ7" s="74" t="s">
        <v>296</v>
      </c>
      <c r="DR7" s="74" t="s">
        <v>296</v>
      </c>
      <c r="DS7" s="74" t="s">
        <v>296</v>
      </c>
      <c r="DT7" s="74" t="s">
        <v>296</v>
      </c>
      <c r="DU7" s="74"/>
      <c r="DV7" s="74" t="s">
        <v>296</v>
      </c>
      <c r="DW7" s="74" t="s">
        <v>296</v>
      </c>
      <c r="DX7" s="74" t="s">
        <v>296</v>
      </c>
      <c r="DY7" s="74" t="s">
        <v>296</v>
      </c>
      <c r="DZ7" s="74" t="s">
        <v>296</v>
      </c>
      <c r="EA7" s="74" t="s">
        <v>296</v>
      </c>
      <c r="EB7" s="74" t="s">
        <v>296</v>
      </c>
      <c r="EC7" s="74" t="s">
        <v>296</v>
      </c>
      <c r="ED7" s="74" t="s">
        <v>296</v>
      </c>
      <c r="EE7" s="74"/>
      <c r="EF7" s="74" t="s">
        <v>296</v>
      </c>
      <c r="EG7" s="74" t="s">
        <v>296</v>
      </c>
      <c r="EH7" s="74" t="s">
        <v>296</v>
      </c>
      <c r="EI7" s="74" t="s">
        <v>296</v>
      </c>
      <c r="EJ7" s="74" t="s">
        <v>296</v>
      </c>
      <c r="EK7" s="74"/>
      <c r="EL7" s="74" t="s">
        <v>296</v>
      </c>
      <c r="EM7" s="74" t="s">
        <v>296</v>
      </c>
      <c r="EN7" s="74" t="s">
        <v>296</v>
      </c>
      <c r="EO7" s="74" t="s">
        <v>296</v>
      </c>
      <c r="EP7" s="74" t="s">
        <v>296</v>
      </c>
      <c r="EQ7" s="74"/>
      <c r="ER7" s="74" t="s">
        <v>296</v>
      </c>
      <c r="ES7" s="74" t="s">
        <v>296</v>
      </c>
      <c r="ET7" s="74" t="s">
        <v>296</v>
      </c>
      <c r="EU7" s="74" t="s">
        <v>296</v>
      </c>
      <c r="EV7" s="74" t="s">
        <v>296</v>
      </c>
      <c r="EW7" s="74" t="s">
        <v>296</v>
      </c>
      <c r="EX7" s="74" t="s">
        <v>296</v>
      </c>
      <c r="EY7" s="74"/>
      <c r="EZ7" s="74" t="s">
        <v>296</v>
      </c>
      <c r="FA7" s="74" t="s">
        <v>296</v>
      </c>
      <c r="FB7" s="74" t="s">
        <v>296</v>
      </c>
      <c r="FC7" s="74" t="s">
        <v>296</v>
      </c>
      <c r="FD7" s="74" t="s">
        <v>296</v>
      </c>
      <c r="FE7" s="74" t="s">
        <v>296</v>
      </c>
      <c r="FF7" s="74"/>
      <c r="FG7" s="74" t="s">
        <v>296</v>
      </c>
      <c r="FH7" s="80" t="s">
        <v>296</v>
      </c>
      <c r="FI7" s="74" t="s">
        <v>296</v>
      </c>
      <c r="FJ7" s="74" t="s">
        <v>296</v>
      </c>
      <c r="FK7" s="74" t="s">
        <v>296</v>
      </c>
      <c r="FL7" s="74"/>
      <c r="FM7" s="74" t="s">
        <v>296</v>
      </c>
      <c r="FN7" s="74" t="s">
        <v>296</v>
      </c>
      <c r="FO7" s="74" t="s">
        <v>296</v>
      </c>
      <c r="FP7" s="74" t="s">
        <v>296</v>
      </c>
      <c r="FQ7" s="74" t="s">
        <v>296</v>
      </c>
      <c r="FR7" s="74"/>
      <c r="FS7" s="74" t="s">
        <v>296</v>
      </c>
      <c r="FT7" s="74" t="s">
        <v>296</v>
      </c>
      <c r="FU7" s="74" t="s">
        <v>296</v>
      </c>
      <c r="FV7" s="74" t="s">
        <v>296</v>
      </c>
      <c r="FW7" s="74" t="s">
        <v>296</v>
      </c>
      <c r="FX7" s="74" t="s">
        <v>296</v>
      </c>
      <c r="FY7" s="74"/>
      <c r="FZ7" s="74" t="s">
        <v>296</v>
      </c>
      <c r="GA7" s="74" t="s">
        <v>296</v>
      </c>
      <c r="GB7" s="74" t="s">
        <v>296</v>
      </c>
      <c r="GC7" s="74" t="s">
        <v>296</v>
      </c>
      <c r="GD7" s="74" t="s">
        <v>296</v>
      </c>
      <c r="GE7" s="74" t="s">
        <v>296</v>
      </c>
      <c r="GF7" s="74" t="s">
        <v>296</v>
      </c>
      <c r="GG7" s="74"/>
      <c r="GH7" s="74" t="s">
        <v>296</v>
      </c>
      <c r="GI7" s="80" t="s">
        <v>296</v>
      </c>
      <c r="GJ7" s="74" t="s">
        <v>296</v>
      </c>
      <c r="GK7" s="74" t="s">
        <v>296</v>
      </c>
      <c r="GL7" s="74" t="s">
        <v>296</v>
      </c>
      <c r="GM7" s="74"/>
      <c r="GN7" s="74" t="s">
        <v>296</v>
      </c>
      <c r="GO7" s="74" t="s">
        <v>296</v>
      </c>
      <c r="GP7" s="74" t="s">
        <v>296</v>
      </c>
      <c r="GQ7" s="74" t="s">
        <v>296</v>
      </c>
      <c r="GR7" s="74"/>
      <c r="GS7" s="74" t="s">
        <v>296</v>
      </c>
      <c r="GT7" s="74" t="s">
        <v>296</v>
      </c>
      <c r="GU7" s="74" t="s">
        <v>296</v>
      </c>
      <c r="GV7" s="74" t="s">
        <v>296</v>
      </c>
      <c r="GW7" s="74" t="s">
        <v>296</v>
      </c>
      <c r="GX7" s="74" t="s">
        <v>296</v>
      </c>
      <c r="GY7" s="74" t="s">
        <v>296</v>
      </c>
      <c r="GZ7" s="74" t="s">
        <v>296</v>
      </c>
      <c r="HA7" s="74" t="s">
        <v>296</v>
      </c>
      <c r="HB7" s="74" t="s">
        <v>296</v>
      </c>
      <c r="HC7" s="74" t="s">
        <v>296</v>
      </c>
      <c r="HD7" s="74" t="s">
        <v>296</v>
      </c>
      <c r="HE7" s="74"/>
      <c r="HF7" s="74" t="s">
        <v>296</v>
      </c>
      <c r="HG7" s="74" t="s">
        <v>296</v>
      </c>
      <c r="HH7" s="74" t="s">
        <v>296</v>
      </c>
      <c r="HI7" s="74" t="s">
        <v>296</v>
      </c>
      <c r="HJ7" s="74" t="s">
        <v>296</v>
      </c>
      <c r="HK7" s="74" t="s">
        <v>296</v>
      </c>
      <c r="HL7" s="74" t="s">
        <v>296</v>
      </c>
      <c r="HM7" s="74"/>
      <c r="HN7" s="74" t="s">
        <v>296</v>
      </c>
      <c r="HO7" s="74" t="s">
        <v>296</v>
      </c>
      <c r="HP7" s="74" t="s">
        <v>296</v>
      </c>
      <c r="HQ7" s="74" t="s">
        <v>296</v>
      </c>
      <c r="HR7" s="74" t="s">
        <v>296</v>
      </c>
      <c r="HS7" s="74" t="s">
        <v>296</v>
      </c>
      <c r="HT7" s="74"/>
      <c r="HU7" s="74" t="s">
        <v>296</v>
      </c>
      <c r="HV7" s="74" t="s">
        <v>296</v>
      </c>
      <c r="HW7" s="74" t="s">
        <v>296</v>
      </c>
      <c r="HX7" s="74" t="s">
        <v>296</v>
      </c>
      <c r="HY7" s="74" t="s">
        <v>296</v>
      </c>
      <c r="HZ7" s="74" t="s">
        <v>296</v>
      </c>
      <c r="IA7" s="74"/>
      <c r="IB7" s="74" t="s">
        <v>296</v>
      </c>
      <c r="IC7" s="80" t="s">
        <v>296</v>
      </c>
      <c r="ID7" s="80" t="s">
        <v>296</v>
      </c>
      <c r="IE7" s="80" t="s">
        <v>296</v>
      </c>
      <c r="IF7" s="74" t="s">
        <v>296</v>
      </c>
      <c r="IG7" s="74" t="s">
        <v>296</v>
      </c>
      <c r="IH7" s="74"/>
      <c r="II7" s="74" t="s">
        <v>296</v>
      </c>
      <c r="IJ7" s="74" t="s">
        <v>296</v>
      </c>
      <c r="IK7" s="74" t="s">
        <v>296</v>
      </c>
      <c r="IL7" s="74" t="s">
        <v>296</v>
      </c>
      <c r="IM7" s="74" t="s">
        <v>296</v>
      </c>
      <c r="IN7" s="74"/>
      <c r="IO7" s="74" t="s">
        <v>296</v>
      </c>
      <c r="IP7" s="74" t="s">
        <v>296</v>
      </c>
      <c r="IQ7" s="74" t="s">
        <v>296</v>
      </c>
      <c r="IR7" s="74" t="s">
        <v>296</v>
      </c>
      <c r="IS7" s="74" t="s">
        <v>296</v>
      </c>
      <c r="IT7" s="74" t="s">
        <v>296</v>
      </c>
      <c r="IU7" s="74" t="s">
        <v>296</v>
      </c>
      <c r="IV7" s="74"/>
      <c r="IW7" s="74" t="s">
        <v>296</v>
      </c>
      <c r="IX7" s="74" t="s">
        <v>296</v>
      </c>
      <c r="IY7" s="74" t="s">
        <v>296</v>
      </c>
      <c r="IZ7" s="74" t="s">
        <v>296</v>
      </c>
      <c r="JA7" s="74" t="s">
        <v>296</v>
      </c>
      <c r="JB7" s="74"/>
      <c r="JC7" s="74" t="s">
        <v>296</v>
      </c>
      <c r="JD7" s="74" t="s">
        <v>296</v>
      </c>
      <c r="JE7" s="74" t="s">
        <v>296</v>
      </c>
      <c r="JF7" s="80" t="s">
        <v>296</v>
      </c>
      <c r="JG7" s="80" t="s">
        <v>296</v>
      </c>
      <c r="JH7" s="80" t="s">
        <v>296</v>
      </c>
      <c r="JI7" s="80" t="s">
        <v>296</v>
      </c>
      <c r="JJ7" s="74" t="s">
        <v>296</v>
      </c>
      <c r="JK7" s="74" t="s">
        <v>296</v>
      </c>
      <c r="JL7" s="74"/>
      <c r="JM7" s="74" t="s">
        <v>296</v>
      </c>
      <c r="JN7" s="74" t="s">
        <v>296</v>
      </c>
      <c r="JO7" s="74" t="s">
        <v>296</v>
      </c>
      <c r="JP7" s="74"/>
      <c r="JQ7" s="74" t="s">
        <v>296</v>
      </c>
      <c r="JR7" s="74" t="s">
        <v>296</v>
      </c>
      <c r="JS7" s="74" t="s">
        <v>296</v>
      </c>
      <c r="JT7" s="74" t="s">
        <v>296</v>
      </c>
      <c r="JU7" s="74" t="s">
        <v>296</v>
      </c>
      <c r="JV7" s="74" t="s">
        <v>296</v>
      </c>
    </row>
    <row r="8" spans="1:282" x14ac:dyDescent="0.15">
      <c r="A8" s="214" t="s">
        <v>35</v>
      </c>
      <c r="B8" s="6" t="s">
        <v>35</v>
      </c>
      <c r="C8" s="6">
        <v>90000</v>
      </c>
      <c r="D8" s="6">
        <v>6</v>
      </c>
      <c r="E8" s="6">
        <v>4</v>
      </c>
      <c r="F8" s="6">
        <v>4</v>
      </c>
      <c r="G8" s="6" t="s">
        <v>37</v>
      </c>
      <c r="H8" s="6" t="s">
        <v>40</v>
      </c>
      <c r="I8" s="6" t="s">
        <v>41</v>
      </c>
      <c r="J8" s="21" t="s">
        <v>42</v>
      </c>
      <c r="K8" s="21">
        <v>1</v>
      </c>
      <c r="L8" s="21">
        <v>2</v>
      </c>
      <c r="M8" s="21">
        <v>1</v>
      </c>
      <c r="N8" s="21">
        <v>2</v>
      </c>
      <c r="O8" s="21">
        <v>0</v>
      </c>
      <c r="P8" s="21" t="str">
        <f>IF(TeamT[[#This Row],[General]]+TeamT[[#This Row],[Agility]]+TeamT[[#This Row],[Strength]]+TeamT[[#This Row],[Passing]]+TeamT[[#This Row],[Mutation]]&gt;0,IF(TeamT[[#This Row],[General]]=1,"G","")&amp;IF(TeamT[[#This Row],[Agility]]=1,"A","")&amp;IF(TeamT[[#This Row],[Strength]]=1,"S","")&amp;IF(TeamT[[#This Row],[Passing]]=1,"P","")&amp;IF(TeamT[[#This Row],[Mutation]]=1,"M",""),"Star")</f>
        <v>GS</v>
      </c>
      <c r="Q8" s="21" t="str">
        <f>IF(TeamT[[#This Row],[General]]=2,"G","")&amp;IF(TeamT[[#This Row],[Agility]]=2,"A","")&amp;IF(TeamT[[#This Row],[Strength]]=2,"S","")&amp;IF(TeamT[[#This Row],[Passing]]=2,"P","")&amp;IF(TeamT[[#This Row],[Mutation]]=2,"M","")</f>
        <v>AP</v>
      </c>
      <c r="R8" s="212"/>
      <c r="S8" s="21">
        <v>4</v>
      </c>
      <c r="T8" s="21">
        <v>5</v>
      </c>
      <c r="U8" s="21">
        <v>10</v>
      </c>
      <c r="AA8" s="76" t="e">
        <f>HLOOKUP(Roster!$E$5,Team!$BL$2:$MK$128,7,FALSE)</f>
        <v>#N/A</v>
      </c>
      <c r="AB8" s="76" t="e">
        <f>HLOOKUP(Roster!$E$6,Team!$BL$2:$MK$128,7,FALSE)</f>
        <v>#N/A</v>
      </c>
      <c r="AC8" s="76" t="e">
        <f>HLOOKUP(Roster!$E$7,Team!$BL$2:$MK$128,7,FALSE)</f>
        <v>#N/A</v>
      </c>
      <c r="AD8" s="76" t="e">
        <f>HLOOKUP(Roster!$E$8,Team!$BL$2:$MK$128,7,FALSE)</f>
        <v>#N/A</v>
      </c>
      <c r="AE8" s="76" t="e">
        <f>HLOOKUP(Roster!$E$9,Team!$BL$2:$MK$128,7,FALSE)</f>
        <v>#N/A</v>
      </c>
      <c r="AF8" s="76" t="e">
        <f>HLOOKUP(Roster!$E$10,Team!$BL$2:$MK$128,7,FALSE)</f>
        <v>#N/A</v>
      </c>
      <c r="AG8" s="76" t="e">
        <f>HLOOKUP(Roster!$E$11,Team!$BL$2:$MK$128,7,FALSE)</f>
        <v>#N/A</v>
      </c>
      <c r="AH8" s="76" t="e">
        <f>HLOOKUP(Roster!$E$12,Team!$BL$2:$MK$128,7,FALSE)</f>
        <v>#N/A</v>
      </c>
      <c r="AI8" s="76" t="e">
        <f>HLOOKUP(Roster!$E$13,Team!$BL$2:$MK$128,7,FALSE)</f>
        <v>#N/A</v>
      </c>
      <c r="AJ8" s="76" t="e">
        <f>HLOOKUP(Roster!$E$14,Team!$BL$2:$MK$128,7,FALSE)</f>
        <v>#N/A</v>
      </c>
      <c r="AK8" s="76" t="e">
        <f>HLOOKUP(Roster!$E$15,Team!$BL$2:$MK$128,7,FALSE)</f>
        <v>#N/A</v>
      </c>
      <c r="AL8" s="76" t="e">
        <f>HLOOKUP(Roster!$E$16,Team!$BL$2:$MK$128,7,FALSE)</f>
        <v>#N/A</v>
      </c>
      <c r="AM8" s="76" t="e">
        <f>HLOOKUP(Roster!$E$17,Team!$BL$2:$MK$128,7,FALSE)</f>
        <v>#N/A</v>
      </c>
      <c r="AN8" s="76" t="e">
        <f>HLOOKUP(Roster!$E$18,Team!$BL$2:$MK$128,7,FALSE)</f>
        <v>#N/A</v>
      </c>
      <c r="AO8" s="76" t="e">
        <f>HLOOKUP(Roster!$E$19,Team!$BL$2:$MK$128,7,FALSE)</f>
        <v>#N/A</v>
      </c>
      <c r="AP8" s="76" t="e">
        <f>HLOOKUP(Roster!$E$20,Team!$BL$2:$MK$128,7,FALSE)</f>
        <v>#N/A</v>
      </c>
      <c r="AR8" s="108">
        <f t="shared" si="1"/>
        <v>0</v>
      </c>
      <c r="AS8" s="108">
        <f t="shared" si="2"/>
        <v>0</v>
      </c>
      <c r="AT8" s="108">
        <f t="shared" si="3"/>
        <v>0</v>
      </c>
      <c r="AU8" s="108">
        <f t="shared" si="4"/>
        <v>0</v>
      </c>
      <c r="AV8" s="108">
        <f t="shared" si="5"/>
        <v>0</v>
      </c>
      <c r="AW8" s="108">
        <f t="shared" si="6"/>
        <v>0</v>
      </c>
      <c r="AX8" s="108">
        <f t="shared" si="7"/>
        <v>0</v>
      </c>
      <c r="AY8" s="108">
        <f t="shared" si="8"/>
        <v>0</v>
      </c>
      <c r="AZ8" s="108">
        <f t="shared" si="9"/>
        <v>0</v>
      </c>
      <c r="BA8" s="108">
        <f t="shared" si="10"/>
        <v>0</v>
      </c>
      <c r="BB8" s="108">
        <f t="shared" si="11"/>
        <v>0</v>
      </c>
      <c r="BC8" s="108">
        <f t="shared" si="12"/>
        <v>0</v>
      </c>
      <c r="BD8" s="108">
        <f t="shared" si="13"/>
        <v>0</v>
      </c>
      <c r="BE8" s="108">
        <f t="shared" si="14"/>
        <v>0</v>
      </c>
      <c r="BF8" s="108">
        <f t="shared" si="15"/>
        <v>0</v>
      </c>
      <c r="BG8" s="108">
        <f t="shared" si="16"/>
        <v>0</v>
      </c>
      <c r="BL8" s="74" t="s">
        <v>297</v>
      </c>
      <c r="BM8" s="74" t="s">
        <v>297</v>
      </c>
      <c r="BN8" s="74" t="s">
        <v>297</v>
      </c>
      <c r="BO8" s="74" t="s">
        <v>297</v>
      </c>
      <c r="BP8" s="74" t="s">
        <v>297</v>
      </c>
      <c r="BQ8" s="74"/>
      <c r="BR8" s="74" t="s">
        <v>297</v>
      </c>
      <c r="BS8" s="74" t="s">
        <v>297</v>
      </c>
      <c r="BT8" s="74" t="s">
        <v>297</v>
      </c>
      <c r="BU8" s="74" t="s">
        <v>297</v>
      </c>
      <c r="BV8" s="74"/>
      <c r="BW8" s="80" t="s">
        <v>297</v>
      </c>
      <c r="BX8" s="74" t="s">
        <v>297</v>
      </c>
      <c r="BY8" s="74" t="s">
        <v>297</v>
      </c>
      <c r="BZ8" s="74" t="s">
        <v>297</v>
      </c>
      <c r="CA8" s="74" t="s">
        <v>297</v>
      </c>
      <c r="CB8" s="80" t="s">
        <v>297</v>
      </c>
      <c r="CD8" s="74" t="s">
        <v>297</v>
      </c>
      <c r="CE8" s="74" t="s">
        <v>297</v>
      </c>
      <c r="CF8" s="74" t="s">
        <v>297</v>
      </c>
      <c r="CG8" s="74" t="s">
        <v>297</v>
      </c>
      <c r="CH8" s="74" t="s">
        <v>297</v>
      </c>
      <c r="CI8" s="97"/>
      <c r="CJ8" s="74" t="s">
        <v>297</v>
      </c>
      <c r="CK8" s="80" t="s">
        <v>297</v>
      </c>
      <c r="CL8" s="80" t="s">
        <v>297</v>
      </c>
      <c r="CM8" s="74" t="s">
        <v>297</v>
      </c>
      <c r="CN8" s="74" t="s">
        <v>297</v>
      </c>
      <c r="CO8" s="80" t="s">
        <v>297</v>
      </c>
      <c r="CP8" s="74" t="s">
        <v>297</v>
      </c>
      <c r="CQ8" s="74" t="s">
        <v>297</v>
      </c>
      <c r="CR8" s="74" t="s">
        <v>297</v>
      </c>
      <c r="CS8" s="74" t="s">
        <v>297</v>
      </c>
      <c r="CT8" s="74" t="s">
        <v>297</v>
      </c>
      <c r="CV8" s="74" t="s">
        <v>297</v>
      </c>
      <c r="CW8" s="74" t="s">
        <v>297</v>
      </c>
      <c r="CX8" s="74" t="s">
        <v>297</v>
      </c>
      <c r="CY8" s="74" t="s">
        <v>297</v>
      </c>
      <c r="CZ8" s="74" t="s">
        <v>297</v>
      </c>
      <c r="DA8" s="220"/>
      <c r="DB8" s="74" t="s">
        <v>297</v>
      </c>
      <c r="DC8" s="74" t="s">
        <v>297</v>
      </c>
      <c r="DD8" s="74" t="s">
        <v>297</v>
      </c>
      <c r="DE8" s="74" t="s">
        <v>297</v>
      </c>
      <c r="DF8" s="74" t="s">
        <v>297</v>
      </c>
      <c r="DG8" s="74" t="s">
        <v>297</v>
      </c>
      <c r="DH8" s="74"/>
      <c r="DI8" s="74" t="s">
        <v>297</v>
      </c>
      <c r="DJ8" s="74" t="s">
        <v>297</v>
      </c>
      <c r="DK8" s="74" t="s">
        <v>297</v>
      </c>
      <c r="DL8" s="74" t="s">
        <v>297</v>
      </c>
      <c r="DM8" s="74" t="s">
        <v>297</v>
      </c>
      <c r="DN8" s="74" t="s">
        <v>297</v>
      </c>
      <c r="DO8" s="74"/>
      <c r="DP8" s="74" t="s">
        <v>297</v>
      </c>
      <c r="DQ8" s="74" t="s">
        <v>297</v>
      </c>
      <c r="DR8" s="74" t="s">
        <v>297</v>
      </c>
      <c r="DS8" s="74" t="s">
        <v>297</v>
      </c>
      <c r="DT8" s="74" t="s">
        <v>297</v>
      </c>
      <c r="DU8" s="74"/>
      <c r="DV8" s="74" t="s">
        <v>297</v>
      </c>
      <c r="DW8" s="74" t="s">
        <v>297</v>
      </c>
      <c r="DX8" s="74" t="s">
        <v>297</v>
      </c>
      <c r="DY8" s="74" t="s">
        <v>297</v>
      </c>
      <c r="DZ8" s="74" t="s">
        <v>297</v>
      </c>
      <c r="EA8" s="74" t="s">
        <v>297</v>
      </c>
      <c r="EB8" s="74" t="s">
        <v>297</v>
      </c>
      <c r="EC8" s="74" t="s">
        <v>297</v>
      </c>
      <c r="ED8" s="74" t="s">
        <v>297</v>
      </c>
      <c r="EE8" s="74"/>
      <c r="EF8" s="74" t="s">
        <v>297</v>
      </c>
      <c r="EG8" s="74" t="s">
        <v>297</v>
      </c>
      <c r="EH8" s="74" t="s">
        <v>297</v>
      </c>
      <c r="EI8" s="74" t="s">
        <v>297</v>
      </c>
      <c r="EJ8" s="74" t="s">
        <v>297</v>
      </c>
      <c r="EK8" s="74"/>
      <c r="EL8" s="74" t="s">
        <v>297</v>
      </c>
      <c r="EM8" s="74" t="s">
        <v>297</v>
      </c>
      <c r="EN8" s="74" t="s">
        <v>297</v>
      </c>
      <c r="EO8" s="74" t="s">
        <v>297</v>
      </c>
      <c r="EP8" s="74" t="s">
        <v>297</v>
      </c>
      <c r="EQ8" s="74"/>
      <c r="ER8" s="74" t="s">
        <v>297</v>
      </c>
      <c r="ES8" s="74" t="s">
        <v>297</v>
      </c>
      <c r="ET8" s="74" t="s">
        <v>297</v>
      </c>
      <c r="EU8" s="74" t="s">
        <v>297</v>
      </c>
      <c r="EV8" s="74" t="s">
        <v>297</v>
      </c>
      <c r="EW8" s="74" t="s">
        <v>297</v>
      </c>
      <c r="EX8" s="74" t="s">
        <v>297</v>
      </c>
      <c r="EY8" s="74"/>
      <c r="EZ8" s="74" t="s">
        <v>297</v>
      </c>
      <c r="FA8" s="74" t="s">
        <v>297</v>
      </c>
      <c r="FB8" s="74" t="s">
        <v>297</v>
      </c>
      <c r="FC8" s="74" t="s">
        <v>297</v>
      </c>
      <c r="FD8" s="74" t="s">
        <v>297</v>
      </c>
      <c r="FE8" s="74" t="s">
        <v>297</v>
      </c>
      <c r="FF8" s="74"/>
      <c r="FG8" s="74" t="s">
        <v>297</v>
      </c>
      <c r="FH8" s="80" t="s">
        <v>297</v>
      </c>
      <c r="FI8" s="74" t="s">
        <v>297</v>
      </c>
      <c r="FJ8" s="74" t="s">
        <v>297</v>
      </c>
      <c r="FK8" s="74" t="s">
        <v>297</v>
      </c>
      <c r="FL8" s="74"/>
      <c r="FM8" s="74" t="s">
        <v>297</v>
      </c>
      <c r="FN8" s="74" t="s">
        <v>297</v>
      </c>
      <c r="FO8" s="74" t="s">
        <v>297</v>
      </c>
      <c r="FP8" s="74" t="s">
        <v>297</v>
      </c>
      <c r="FQ8" s="74" t="s">
        <v>297</v>
      </c>
      <c r="FR8" s="74"/>
      <c r="FS8" s="74" t="s">
        <v>297</v>
      </c>
      <c r="FT8" s="74" t="s">
        <v>297</v>
      </c>
      <c r="FU8" s="74" t="s">
        <v>297</v>
      </c>
      <c r="FV8" s="74" t="s">
        <v>297</v>
      </c>
      <c r="FW8" s="74" t="s">
        <v>297</v>
      </c>
      <c r="FX8" s="74" t="s">
        <v>297</v>
      </c>
      <c r="FY8" s="74"/>
      <c r="FZ8" s="74" t="s">
        <v>297</v>
      </c>
      <c r="GA8" s="74" t="s">
        <v>297</v>
      </c>
      <c r="GB8" s="74" t="s">
        <v>297</v>
      </c>
      <c r="GC8" s="74" t="s">
        <v>297</v>
      </c>
      <c r="GD8" s="74" t="s">
        <v>297</v>
      </c>
      <c r="GE8" s="74" t="s">
        <v>297</v>
      </c>
      <c r="GF8" s="74" t="s">
        <v>297</v>
      </c>
      <c r="GG8" s="74"/>
      <c r="GH8" s="74" t="s">
        <v>297</v>
      </c>
      <c r="GI8" s="80" t="s">
        <v>297</v>
      </c>
      <c r="GJ8" s="74" t="s">
        <v>297</v>
      </c>
      <c r="GK8" s="74" t="s">
        <v>297</v>
      </c>
      <c r="GL8" s="74" t="s">
        <v>297</v>
      </c>
      <c r="GM8" s="74"/>
      <c r="GN8" s="74" t="s">
        <v>297</v>
      </c>
      <c r="GO8" s="74" t="s">
        <v>297</v>
      </c>
      <c r="GP8" s="74" t="s">
        <v>297</v>
      </c>
      <c r="GQ8" s="74" t="s">
        <v>297</v>
      </c>
      <c r="GR8" s="74"/>
      <c r="GS8" s="74" t="s">
        <v>297</v>
      </c>
      <c r="GT8" s="74" t="s">
        <v>297</v>
      </c>
      <c r="GU8" s="74" t="s">
        <v>297</v>
      </c>
      <c r="GV8" s="74" t="s">
        <v>297</v>
      </c>
      <c r="GW8" s="74" t="s">
        <v>297</v>
      </c>
      <c r="GX8" s="74" t="s">
        <v>297</v>
      </c>
      <c r="GY8" s="74" t="s">
        <v>297</v>
      </c>
      <c r="GZ8" s="74" t="s">
        <v>297</v>
      </c>
      <c r="HA8" s="74" t="s">
        <v>297</v>
      </c>
      <c r="HB8" s="74" t="s">
        <v>297</v>
      </c>
      <c r="HC8" s="74" t="s">
        <v>297</v>
      </c>
      <c r="HD8" s="74" t="s">
        <v>297</v>
      </c>
      <c r="HE8" s="74"/>
      <c r="HF8" s="74" t="s">
        <v>297</v>
      </c>
      <c r="HG8" s="74" t="s">
        <v>297</v>
      </c>
      <c r="HH8" s="74" t="s">
        <v>297</v>
      </c>
      <c r="HI8" s="74" t="s">
        <v>297</v>
      </c>
      <c r="HJ8" s="74" t="s">
        <v>297</v>
      </c>
      <c r="HK8" s="74" t="s">
        <v>297</v>
      </c>
      <c r="HL8" s="74" t="s">
        <v>297</v>
      </c>
      <c r="HM8" s="74"/>
      <c r="HN8" s="74" t="s">
        <v>297</v>
      </c>
      <c r="HO8" s="74" t="s">
        <v>297</v>
      </c>
      <c r="HP8" s="74" t="s">
        <v>297</v>
      </c>
      <c r="HQ8" s="74" t="s">
        <v>297</v>
      </c>
      <c r="HR8" s="74" t="s">
        <v>297</v>
      </c>
      <c r="HS8" s="74" t="s">
        <v>297</v>
      </c>
      <c r="HT8" s="74"/>
      <c r="HU8" s="74" t="s">
        <v>297</v>
      </c>
      <c r="HV8" s="74" t="s">
        <v>297</v>
      </c>
      <c r="HW8" s="74" t="s">
        <v>297</v>
      </c>
      <c r="HX8" s="74" t="s">
        <v>297</v>
      </c>
      <c r="HY8" s="74" t="s">
        <v>297</v>
      </c>
      <c r="HZ8" s="74" t="s">
        <v>297</v>
      </c>
      <c r="IA8" s="74"/>
      <c r="IB8" s="74" t="s">
        <v>297</v>
      </c>
      <c r="IC8" s="80" t="s">
        <v>297</v>
      </c>
      <c r="ID8" s="80" t="s">
        <v>297</v>
      </c>
      <c r="IE8" s="80" t="s">
        <v>297</v>
      </c>
      <c r="IF8" s="74" t="s">
        <v>297</v>
      </c>
      <c r="IG8" s="74" t="s">
        <v>297</v>
      </c>
      <c r="IH8" s="74"/>
      <c r="II8" s="74" t="s">
        <v>297</v>
      </c>
      <c r="IJ8" s="74" t="s">
        <v>297</v>
      </c>
      <c r="IK8" s="74" t="s">
        <v>297</v>
      </c>
      <c r="IL8" s="74" t="s">
        <v>297</v>
      </c>
      <c r="IM8" s="74" t="s">
        <v>297</v>
      </c>
      <c r="IN8" s="74"/>
      <c r="IO8" s="74" t="s">
        <v>297</v>
      </c>
      <c r="IP8" s="74" t="s">
        <v>297</v>
      </c>
      <c r="IQ8" s="74" t="s">
        <v>297</v>
      </c>
      <c r="IR8" s="74" t="s">
        <v>297</v>
      </c>
      <c r="IS8" s="74" t="s">
        <v>297</v>
      </c>
      <c r="IT8" s="74" t="s">
        <v>297</v>
      </c>
      <c r="IU8" s="74" t="s">
        <v>297</v>
      </c>
      <c r="IV8" s="74"/>
      <c r="IW8" s="74" t="s">
        <v>297</v>
      </c>
      <c r="IX8" s="74" t="s">
        <v>297</v>
      </c>
      <c r="IY8" s="74" t="s">
        <v>297</v>
      </c>
      <c r="IZ8" s="74" t="s">
        <v>297</v>
      </c>
      <c r="JA8" s="74" t="s">
        <v>297</v>
      </c>
      <c r="JB8" s="74"/>
      <c r="JC8" s="74" t="s">
        <v>297</v>
      </c>
      <c r="JD8" s="74" t="s">
        <v>297</v>
      </c>
      <c r="JE8" s="74" t="s">
        <v>297</v>
      </c>
      <c r="JF8" s="80" t="s">
        <v>297</v>
      </c>
      <c r="JG8" s="80" t="s">
        <v>297</v>
      </c>
      <c r="JH8" s="80" t="s">
        <v>297</v>
      </c>
      <c r="JI8" s="80" t="s">
        <v>297</v>
      </c>
      <c r="JJ8" s="74" t="s">
        <v>297</v>
      </c>
      <c r="JK8" s="74" t="s">
        <v>297</v>
      </c>
      <c r="JL8" s="74"/>
      <c r="JM8" s="74" t="s">
        <v>297</v>
      </c>
      <c r="JN8" s="74" t="s">
        <v>297</v>
      </c>
      <c r="JO8" s="74" t="s">
        <v>297</v>
      </c>
      <c r="JP8" s="74"/>
      <c r="JQ8" s="74" t="s">
        <v>297</v>
      </c>
      <c r="JR8" s="74" t="s">
        <v>297</v>
      </c>
      <c r="JS8" s="74" t="s">
        <v>297</v>
      </c>
      <c r="JT8" s="74" t="s">
        <v>297</v>
      </c>
      <c r="JU8" s="74" t="s">
        <v>297</v>
      </c>
      <c r="JV8" s="74" t="s">
        <v>297</v>
      </c>
    </row>
    <row r="9" spans="1:282" x14ac:dyDescent="0.15">
      <c r="A9" s="214" t="s">
        <v>389</v>
      </c>
      <c r="B9" s="6" t="s">
        <v>35</v>
      </c>
      <c r="C9" s="6">
        <v>115000</v>
      </c>
      <c r="D9" s="6">
        <v>1</v>
      </c>
      <c r="E9" s="6">
        <v>4</v>
      </c>
      <c r="F9" s="6">
        <v>5</v>
      </c>
      <c r="G9" s="6" t="s">
        <v>40</v>
      </c>
      <c r="H9" s="6" t="s">
        <v>40</v>
      </c>
      <c r="I9" s="6" t="s">
        <v>41</v>
      </c>
      <c r="J9" s="21" t="s">
        <v>44</v>
      </c>
      <c r="K9" s="21">
        <v>2</v>
      </c>
      <c r="L9" s="21">
        <v>2</v>
      </c>
      <c r="M9" s="21">
        <v>1</v>
      </c>
      <c r="N9" s="21">
        <v>2</v>
      </c>
      <c r="O9" s="21">
        <v>0</v>
      </c>
      <c r="P9" s="21" t="str">
        <f>IF(TeamT[[#This Row],[General]]+TeamT[[#This Row],[Agility]]+TeamT[[#This Row],[Strength]]+TeamT[[#This Row],[Passing]]+TeamT[[#This Row],[Mutation]]&gt;0,IF(TeamT[[#This Row],[General]]=1,"G","")&amp;IF(TeamT[[#This Row],[Agility]]=1,"A","")&amp;IF(TeamT[[#This Row],[Strength]]=1,"S","")&amp;IF(TeamT[[#This Row],[Passing]]=1,"P","")&amp;IF(TeamT[[#This Row],[Mutation]]=1,"M",""),"Star")</f>
        <v>S</v>
      </c>
      <c r="Q9" s="21" t="str">
        <f>IF(TeamT[[#This Row],[General]]=2,"G","")&amp;IF(TeamT[[#This Row],[Agility]]=2,"A","")&amp;IF(TeamT[[#This Row],[Strength]]=2,"S","")&amp;IF(TeamT[[#This Row],[Passing]]=2,"P","")&amp;IF(TeamT[[#This Row],[Mutation]]=2,"M","")</f>
        <v>GAP</v>
      </c>
      <c r="R9" s="212"/>
      <c r="S9" s="21">
        <v>5</v>
      </c>
      <c r="T9" s="21">
        <v>5</v>
      </c>
      <c r="U9" s="21">
        <v>10</v>
      </c>
      <c r="AA9" s="76" t="e">
        <f>HLOOKUP(Roster!$E$5,Team!$BL$2:$MK$128,8,FALSE)</f>
        <v>#N/A</v>
      </c>
      <c r="AB9" s="76" t="e">
        <f>HLOOKUP(Roster!$E$6,Team!$BL$2:$MK$128,8,FALSE)</f>
        <v>#N/A</v>
      </c>
      <c r="AC9" s="76" t="e">
        <f>HLOOKUP(Roster!$E$7,Team!$BL$2:$MK$128,8,FALSE)</f>
        <v>#N/A</v>
      </c>
      <c r="AD9" s="76" t="e">
        <f>HLOOKUP(Roster!$E$8,Team!$BL$2:$MK$128,8,FALSE)</f>
        <v>#N/A</v>
      </c>
      <c r="AE9" s="76" t="e">
        <f>HLOOKUP(Roster!$E$9,Team!$BL$2:$MK$128,8,FALSE)</f>
        <v>#N/A</v>
      </c>
      <c r="AF9" s="76" t="e">
        <f>HLOOKUP(Roster!$E$10,Team!$BL$2:$MK$128,8,FALSE)</f>
        <v>#N/A</v>
      </c>
      <c r="AG9" s="76" t="e">
        <f>HLOOKUP(Roster!$E$11,Team!$BL$2:$MK$128,8,FALSE)</f>
        <v>#N/A</v>
      </c>
      <c r="AH9" s="76" t="e">
        <f>HLOOKUP(Roster!$E$12,Team!$BL$2:$MK$128,8,FALSE)</f>
        <v>#N/A</v>
      </c>
      <c r="AI9" s="76" t="e">
        <f>HLOOKUP(Roster!$E$13,Team!$BL$2:$MK$128,8,FALSE)</f>
        <v>#N/A</v>
      </c>
      <c r="AJ9" s="76" t="e">
        <f>HLOOKUP(Roster!$E$14,Team!$BL$2:$MK$128,8,FALSE)</f>
        <v>#N/A</v>
      </c>
      <c r="AK9" s="76" t="e">
        <f>HLOOKUP(Roster!$E$15,Team!$BL$2:$MK$128,8,FALSE)</f>
        <v>#N/A</v>
      </c>
      <c r="AL9" s="76" t="e">
        <f>HLOOKUP(Roster!$E$16,Team!$BL$2:$MK$128,8,FALSE)</f>
        <v>#N/A</v>
      </c>
      <c r="AM9" s="76" t="e">
        <f>HLOOKUP(Roster!$E$17,Team!$BL$2:$MK$128,8,FALSE)</f>
        <v>#N/A</v>
      </c>
      <c r="AN9" s="76" t="e">
        <f>HLOOKUP(Roster!$E$18,Team!$BL$2:$MK$128,8,FALSE)</f>
        <v>#N/A</v>
      </c>
      <c r="AO9" s="76" t="e">
        <f>HLOOKUP(Roster!$E$19,Team!$BL$2:$MK$128,8,FALSE)</f>
        <v>#N/A</v>
      </c>
      <c r="AP9" s="76" t="e">
        <f>HLOOKUP(Roster!$E$20,Team!$BL$2:$MK$128,8,FALSE)</f>
        <v>#N/A</v>
      </c>
      <c r="AR9" s="108">
        <f t="shared" si="1"/>
        <v>0</v>
      </c>
      <c r="AS9" s="108">
        <f t="shared" si="2"/>
        <v>0</v>
      </c>
      <c r="AT9" s="108">
        <f t="shared" si="3"/>
        <v>0</v>
      </c>
      <c r="AU9" s="108">
        <f t="shared" si="4"/>
        <v>0</v>
      </c>
      <c r="AV9" s="108">
        <f t="shared" si="5"/>
        <v>0</v>
      </c>
      <c r="AW9" s="108">
        <f t="shared" si="6"/>
        <v>0</v>
      </c>
      <c r="AX9" s="108">
        <f t="shared" si="7"/>
        <v>0</v>
      </c>
      <c r="AY9" s="108">
        <f t="shared" si="8"/>
        <v>0</v>
      </c>
      <c r="AZ9" s="108">
        <f t="shared" si="9"/>
        <v>0</v>
      </c>
      <c r="BA9" s="108">
        <f t="shared" si="10"/>
        <v>0</v>
      </c>
      <c r="BB9" s="108">
        <f t="shared" si="11"/>
        <v>0</v>
      </c>
      <c r="BC9" s="108">
        <f t="shared" si="12"/>
        <v>0</v>
      </c>
      <c r="BD9" s="108">
        <f t="shared" si="13"/>
        <v>0</v>
      </c>
      <c r="BE9" s="108">
        <f t="shared" si="14"/>
        <v>0</v>
      </c>
      <c r="BF9" s="108">
        <f t="shared" si="15"/>
        <v>0</v>
      </c>
      <c r="BG9" s="108">
        <f t="shared" si="16"/>
        <v>0</v>
      </c>
      <c r="BL9" s="74" t="s">
        <v>275</v>
      </c>
      <c r="BM9" s="74" t="s">
        <v>275</v>
      </c>
      <c r="BN9" s="74" t="s">
        <v>275</v>
      </c>
      <c r="BO9" s="74" t="s">
        <v>275</v>
      </c>
      <c r="BP9" s="74" t="s">
        <v>275</v>
      </c>
      <c r="BQ9" s="74"/>
      <c r="BR9" s="74" t="s">
        <v>275</v>
      </c>
      <c r="BS9" s="74" t="s">
        <v>275</v>
      </c>
      <c r="BT9" s="74" t="s">
        <v>275</v>
      </c>
      <c r="BU9" s="74" t="s">
        <v>275</v>
      </c>
      <c r="BV9" s="74"/>
      <c r="BW9" s="80" t="s">
        <v>275</v>
      </c>
      <c r="BX9" s="74" t="s">
        <v>275</v>
      </c>
      <c r="BY9" s="74" t="s">
        <v>275</v>
      </c>
      <c r="BZ9" s="74" t="s">
        <v>275</v>
      </c>
      <c r="CA9" s="74" t="s">
        <v>275</v>
      </c>
      <c r="CB9" s="80" t="s">
        <v>275</v>
      </c>
      <c r="CC9" s="77"/>
      <c r="CD9" s="74" t="s">
        <v>275</v>
      </c>
      <c r="CE9" s="74" t="s">
        <v>275</v>
      </c>
      <c r="CF9" s="74" t="s">
        <v>275</v>
      </c>
      <c r="CG9" s="74" t="s">
        <v>275</v>
      </c>
      <c r="CH9" s="74" t="s">
        <v>275</v>
      </c>
      <c r="CI9" s="77"/>
      <c r="CJ9" s="74" t="s">
        <v>275</v>
      </c>
      <c r="CK9" s="80" t="s">
        <v>275</v>
      </c>
      <c r="CL9" s="81" t="s">
        <v>247</v>
      </c>
      <c r="CM9" s="74" t="s">
        <v>275</v>
      </c>
      <c r="CN9" s="74" t="s">
        <v>275</v>
      </c>
      <c r="CO9" s="80" t="s">
        <v>275</v>
      </c>
      <c r="CP9" s="74" t="s">
        <v>275</v>
      </c>
      <c r="CQ9" s="74" t="s">
        <v>275</v>
      </c>
      <c r="CR9" s="74" t="s">
        <v>275</v>
      </c>
      <c r="CS9" s="74" t="s">
        <v>275</v>
      </c>
      <c r="CT9" s="74" t="s">
        <v>275</v>
      </c>
      <c r="CU9" s="74"/>
      <c r="CV9" s="74" t="s">
        <v>275</v>
      </c>
      <c r="CW9" s="74" t="s">
        <v>275</v>
      </c>
      <c r="CX9" s="74" t="s">
        <v>275</v>
      </c>
      <c r="CY9" s="74" t="s">
        <v>275</v>
      </c>
      <c r="CZ9" s="74" t="s">
        <v>275</v>
      </c>
      <c r="DA9" s="74"/>
      <c r="DB9" s="74" t="s">
        <v>275</v>
      </c>
      <c r="DC9" s="74" t="s">
        <v>275</v>
      </c>
      <c r="DD9" s="74" t="s">
        <v>275</v>
      </c>
      <c r="DE9" s="74" t="s">
        <v>275</v>
      </c>
      <c r="DF9" s="74" t="s">
        <v>275</v>
      </c>
      <c r="DG9" s="74" t="s">
        <v>275</v>
      </c>
      <c r="DH9" s="74"/>
      <c r="DI9" s="74" t="s">
        <v>275</v>
      </c>
      <c r="DJ9" s="74" t="s">
        <v>275</v>
      </c>
      <c r="DK9" s="74" t="s">
        <v>275</v>
      </c>
      <c r="DL9" s="74" t="s">
        <v>275</v>
      </c>
      <c r="DM9" s="74" t="s">
        <v>275</v>
      </c>
      <c r="DN9" s="74" t="s">
        <v>275</v>
      </c>
      <c r="DO9" s="74"/>
      <c r="DP9" s="74" t="s">
        <v>275</v>
      </c>
      <c r="DQ9" s="74" t="s">
        <v>275</v>
      </c>
      <c r="DR9" s="74" t="s">
        <v>275</v>
      </c>
      <c r="DS9" s="74" t="s">
        <v>275</v>
      </c>
      <c r="DT9" s="74" t="s">
        <v>275</v>
      </c>
      <c r="DU9" s="74"/>
      <c r="DV9" s="74" t="s">
        <v>275</v>
      </c>
      <c r="DW9" s="74" t="s">
        <v>275</v>
      </c>
      <c r="DX9" s="74" t="s">
        <v>275</v>
      </c>
      <c r="DY9" s="74" t="s">
        <v>275</v>
      </c>
      <c r="DZ9" s="74" t="s">
        <v>275</v>
      </c>
      <c r="EA9" s="74" t="s">
        <v>275</v>
      </c>
      <c r="EB9" s="74" t="s">
        <v>275</v>
      </c>
      <c r="EC9" s="74" t="s">
        <v>275</v>
      </c>
      <c r="ED9" s="74" t="s">
        <v>275</v>
      </c>
      <c r="EE9" s="74"/>
      <c r="EF9" s="74" t="s">
        <v>275</v>
      </c>
      <c r="EG9" s="74" t="s">
        <v>275</v>
      </c>
      <c r="EH9" s="74" t="s">
        <v>275</v>
      </c>
      <c r="EI9" s="74" t="s">
        <v>275</v>
      </c>
      <c r="EJ9" s="74" t="s">
        <v>275</v>
      </c>
      <c r="EK9" s="74"/>
      <c r="EL9" s="74" t="s">
        <v>275</v>
      </c>
      <c r="EM9" s="74" t="s">
        <v>275</v>
      </c>
      <c r="EN9" s="74" t="s">
        <v>275</v>
      </c>
      <c r="EO9" s="74" t="s">
        <v>275</v>
      </c>
      <c r="EP9" s="74" t="s">
        <v>275</v>
      </c>
      <c r="EQ9" s="74"/>
      <c r="ER9" s="74" t="s">
        <v>275</v>
      </c>
      <c r="ES9" s="74" t="s">
        <v>275</v>
      </c>
      <c r="ET9" s="74" t="s">
        <v>275</v>
      </c>
      <c r="EU9" s="74" t="s">
        <v>275</v>
      </c>
      <c r="EV9" s="74" t="s">
        <v>275</v>
      </c>
      <c r="EW9" s="74" t="s">
        <v>275</v>
      </c>
      <c r="EX9" s="74" t="s">
        <v>275</v>
      </c>
      <c r="EY9" s="74"/>
      <c r="EZ9" s="74" t="s">
        <v>275</v>
      </c>
      <c r="FA9" s="74" t="s">
        <v>275</v>
      </c>
      <c r="FB9" s="74" t="s">
        <v>275</v>
      </c>
      <c r="FC9" s="74" t="s">
        <v>275</v>
      </c>
      <c r="FD9" s="74" t="s">
        <v>275</v>
      </c>
      <c r="FE9" s="74" t="s">
        <v>275</v>
      </c>
      <c r="FF9" s="74"/>
      <c r="FG9" s="74" t="s">
        <v>275</v>
      </c>
      <c r="FH9" s="80" t="s">
        <v>275</v>
      </c>
      <c r="FI9" s="74" t="s">
        <v>275</v>
      </c>
      <c r="FJ9" s="74" t="s">
        <v>275</v>
      </c>
      <c r="FK9" s="74" t="s">
        <v>275</v>
      </c>
      <c r="FL9" s="74"/>
      <c r="FM9" s="74" t="s">
        <v>275</v>
      </c>
      <c r="FN9" s="74" t="s">
        <v>275</v>
      </c>
      <c r="FO9" s="74" t="s">
        <v>275</v>
      </c>
      <c r="FP9" s="74" t="s">
        <v>275</v>
      </c>
      <c r="FQ9" s="74" t="s">
        <v>275</v>
      </c>
      <c r="FR9" s="74"/>
      <c r="FS9" s="74" t="s">
        <v>275</v>
      </c>
      <c r="FT9" s="74" t="s">
        <v>275</v>
      </c>
      <c r="FU9" s="74" t="s">
        <v>275</v>
      </c>
      <c r="FV9" s="74" t="s">
        <v>275</v>
      </c>
      <c r="FW9" s="74" t="s">
        <v>275</v>
      </c>
      <c r="FX9" s="74" t="s">
        <v>275</v>
      </c>
      <c r="FY9" s="74"/>
      <c r="FZ9" s="74" t="s">
        <v>275</v>
      </c>
      <c r="GA9" s="81" t="s">
        <v>224</v>
      </c>
      <c r="GB9" s="74" t="s">
        <v>275</v>
      </c>
      <c r="GC9" s="74" t="s">
        <v>275</v>
      </c>
      <c r="GD9" s="74" t="s">
        <v>275</v>
      </c>
      <c r="GE9" s="74" t="s">
        <v>275</v>
      </c>
      <c r="GF9" s="74" t="s">
        <v>275</v>
      </c>
      <c r="GG9" s="74"/>
      <c r="GH9" s="74" t="s">
        <v>275</v>
      </c>
      <c r="GI9" s="80" t="s">
        <v>275</v>
      </c>
      <c r="GJ9" s="74" t="s">
        <v>275</v>
      </c>
      <c r="GK9" s="74" t="s">
        <v>275</v>
      </c>
      <c r="GL9" s="74" t="s">
        <v>275</v>
      </c>
      <c r="GM9" s="74"/>
      <c r="GN9" s="81" t="s">
        <v>70</v>
      </c>
      <c r="GO9" s="74" t="s">
        <v>275</v>
      </c>
      <c r="GP9" s="74" t="s">
        <v>275</v>
      </c>
      <c r="GQ9" s="81" t="s">
        <v>70</v>
      </c>
      <c r="GR9" s="81"/>
      <c r="GS9" s="74" t="s">
        <v>275</v>
      </c>
      <c r="GT9" s="74" t="s">
        <v>275</v>
      </c>
      <c r="GU9" s="74" t="s">
        <v>275</v>
      </c>
      <c r="GV9" s="74" t="s">
        <v>275</v>
      </c>
      <c r="GW9" s="74" t="s">
        <v>275</v>
      </c>
      <c r="GX9" s="74" t="s">
        <v>275</v>
      </c>
      <c r="GY9" s="74" t="s">
        <v>275</v>
      </c>
      <c r="GZ9" s="74" t="s">
        <v>275</v>
      </c>
      <c r="HA9" s="74" t="s">
        <v>275</v>
      </c>
      <c r="HB9" s="74" t="s">
        <v>275</v>
      </c>
      <c r="HC9" s="74" t="s">
        <v>275</v>
      </c>
      <c r="HD9" s="74" t="s">
        <v>275</v>
      </c>
      <c r="HE9" s="74"/>
      <c r="HF9" s="74" t="s">
        <v>275</v>
      </c>
      <c r="HG9" s="74" t="s">
        <v>275</v>
      </c>
      <c r="HH9" s="74" t="s">
        <v>275</v>
      </c>
      <c r="HI9" s="74" t="s">
        <v>275</v>
      </c>
      <c r="HJ9" s="74" t="s">
        <v>275</v>
      </c>
      <c r="HK9" s="74" t="s">
        <v>275</v>
      </c>
      <c r="HL9" s="74" t="s">
        <v>275</v>
      </c>
      <c r="HM9" s="74"/>
      <c r="HN9" s="74" t="s">
        <v>275</v>
      </c>
      <c r="HO9" s="74" t="s">
        <v>275</v>
      </c>
      <c r="HP9" s="74" t="s">
        <v>275</v>
      </c>
      <c r="HQ9" s="74" t="s">
        <v>275</v>
      </c>
      <c r="HR9" s="74" t="s">
        <v>275</v>
      </c>
      <c r="HS9" s="74" t="s">
        <v>275</v>
      </c>
      <c r="HT9" s="74"/>
      <c r="HU9" s="74" t="s">
        <v>275</v>
      </c>
      <c r="HV9" s="74" t="s">
        <v>275</v>
      </c>
      <c r="HW9" s="74" t="s">
        <v>275</v>
      </c>
      <c r="HX9" s="74" t="s">
        <v>275</v>
      </c>
      <c r="HY9" s="74" t="s">
        <v>275</v>
      </c>
      <c r="HZ9" s="74" t="s">
        <v>275</v>
      </c>
      <c r="IA9" s="74"/>
      <c r="IB9" s="74" t="s">
        <v>275</v>
      </c>
      <c r="IC9" s="80" t="s">
        <v>275</v>
      </c>
      <c r="ID9" s="80" t="s">
        <v>275</v>
      </c>
      <c r="IE9" s="80" t="s">
        <v>275</v>
      </c>
      <c r="IF9" s="74" t="s">
        <v>275</v>
      </c>
      <c r="IG9" s="74" t="s">
        <v>275</v>
      </c>
      <c r="IH9" s="74"/>
      <c r="II9" s="74" t="s">
        <v>275</v>
      </c>
      <c r="IJ9" s="74" t="s">
        <v>275</v>
      </c>
      <c r="IK9" s="74" t="s">
        <v>275</v>
      </c>
      <c r="IL9" s="74" t="s">
        <v>275</v>
      </c>
      <c r="IM9" s="74" t="s">
        <v>275</v>
      </c>
      <c r="IN9" s="74"/>
      <c r="IO9" s="81" t="s">
        <v>70</v>
      </c>
      <c r="IP9" s="75" t="s">
        <v>247</v>
      </c>
      <c r="IQ9" s="81" t="s">
        <v>70</v>
      </c>
      <c r="IR9" s="81" t="s">
        <v>70</v>
      </c>
      <c r="IS9" s="74" t="s">
        <v>275</v>
      </c>
      <c r="IT9" s="74" t="s">
        <v>275</v>
      </c>
      <c r="IU9" s="81" t="s">
        <v>70</v>
      </c>
      <c r="IV9" s="81"/>
      <c r="IW9" s="74" t="s">
        <v>275</v>
      </c>
      <c r="IX9" s="75" t="s">
        <v>247</v>
      </c>
      <c r="IY9" s="74" t="s">
        <v>275</v>
      </c>
      <c r="IZ9" s="74" t="s">
        <v>275</v>
      </c>
      <c r="JA9" s="74" t="s">
        <v>275</v>
      </c>
      <c r="JB9" s="81"/>
      <c r="JC9" s="74" t="s">
        <v>275</v>
      </c>
      <c r="JD9" s="81" t="s">
        <v>240</v>
      </c>
      <c r="JE9" s="74" t="s">
        <v>275</v>
      </c>
      <c r="JF9" s="80" t="s">
        <v>275</v>
      </c>
      <c r="JG9" s="80" t="s">
        <v>275</v>
      </c>
      <c r="JH9" s="80" t="s">
        <v>275</v>
      </c>
      <c r="JI9" s="80" t="s">
        <v>275</v>
      </c>
      <c r="JJ9" s="74" t="s">
        <v>275</v>
      </c>
      <c r="JK9" s="74" t="s">
        <v>275</v>
      </c>
      <c r="JL9" s="74"/>
      <c r="JM9" s="74" t="s">
        <v>275</v>
      </c>
      <c r="JN9" s="74" t="s">
        <v>275</v>
      </c>
      <c r="JO9" s="74" t="s">
        <v>275</v>
      </c>
      <c r="JP9" s="74"/>
      <c r="JQ9" s="74" t="s">
        <v>275</v>
      </c>
      <c r="JR9" s="74" t="s">
        <v>275</v>
      </c>
      <c r="JS9" s="74" t="s">
        <v>275</v>
      </c>
      <c r="JT9" s="74" t="s">
        <v>275</v>
      </c>
      <c r="JU9" s="74" t="s">
        <v>275</v>
      </c>
      <c r="JV9" s="74" t="s">
        <v>275</v>
      </c>
    </row>
    <row r="10" spans="1:282" x14ac:dyDescent="0.15">
      <c r="A10" s="214" t="s">
        <v>539</v>
      </c>
      <c r="B10" s="6" t="s">
        <v>35</v>
      </c>
      <c r="C10" s="6">
        <v>45000</v>
      </c>
      <c r="D10" s="6">
        <v>11</v>
      </c>
      <c r="E10" s="6">
        <v>6</v>
      </c>
      <c r="F10" s="6">
        <v>2</v>
      </c>
      <c r="G10" s="6" t="s">
        <v>36</v>
      </c>
      <c r="H10" s="6" t="s">
        <v>37</v>
      </c>
      <c r="I10" s="6" t="s">
        <v>38</v>
      </c>
      <c r="J10" s="21" t="s">
        <v>45</v>
      </c>
      <c r="K10" s="21">
        <v>2</v>
      </c>
      <c r="L10" s="21">
        <v>1</v>
      </c>
      <c r="M10" s="21">
        <v>2</v>
      </c>
      <c r="N10" s="21">
        <v>2</v>
      </c>
      <c r="O10" s="21">
        <v>0</v>
      </c>
      <c r="P10" s="21" t="str">
        <f>IF(TeamT[[#This Row],[General]]+TeamT[[#This Row],[Agility]]+TeamT[[#This Row],[Strength]]+TeamT[[#This Row],[Passing]]+TeamT[[#This Row],[Mutation]]&gt;0,IF(TeamT[[#This Row],[General]]=1,"G","")&amp;IF(TeamT[[#This Row],[Agility]]=1,"A","")&amp;IF(TeamT[[#This Row],[Strength]]=1,"S","")&amp;IF(TeamT[[#This Row],[Passing]]=1,"P","")&amp;IF(TeamT[[#This Row],[Mutation]]=1,"M",""),"Star")</f>
        <v>A</v>
      </c>
      <c r="Q10" s="21" t="str">
        <f>IF(TeamT[[#This Row],[General]]=2,"G","")&amp;IF(TeamT[[#This Row],[Agility]]=2,"A","")&amp;IF(TeamT[[#This Row],[Strength]]=2,"S","")&amp;IF(TeamT[[#This Row],[Passing]]=2,"P","")&amp;IF(TeamT[[#This Row],[Mutation]]=2,"M","")</f>
        <v>GSP</v>
      </c>
      <c r="R10" s="212"/>
      <c r="S10" s="21">
        <v>3</v>
      </c>
      <c r="T10" s="21">
        <v>4</v>
      </c>
      <c r="U10" s="21">
        <v>8</v>
      </c>
      <c r="AA10" s="76" t="e">
        <f>HLOOKUP(Roster!$E$5,Team!$BL$2:$MK$128,9,FALSE)</f>
        <v>#N/A</v>
      </c>
      <c r="AB10" s="76" t="e">
        <f>HLOOKUP(Roster!$E$6,Team!$BL$2:$MK$128,9,FALSE)</f>
        <v>#N/A</v>
      </c>
      <c r="AC10" s="76" t="e">
        <f>HLOOKUP(Roster!$E$7,Team!$BL$2:$MK$128,9,FALSE)</f>
        <v>#N/A</v>
      </c>
      <c r="AD10" s="76" t="e">
        <f>HLOOKUP(Roster!$E$8,Team!$BL$2:$MK$128,9,FALSE)</f>
        <v>#N/A</v>
      </c>
      <c r="AE10" s="76" t="e">
        <f>HLOOKUP(Roster!$E$9,Team!$BL$2:$MK$128,9,FALSE)</f>
        <v>#N/A</v>
      </c>
      <c r="AF10" s="76" t="e">
        <f>HLOOKUP(Roster!$E$10,Team!$BL$2:$MK$128,9,FALSE)</f>
        <v>#N/A</v>
      </c>
      <c r="AG10" s="76" t="e">
        <f>HLOOKUP(Roster!$E$11,Team!$BL$2:$MK$128,9,FALSE)</f>
        <v>#N/A</v>
      </c>
      <c r="AH10" s="76" t="e">
        <f>HLOOKUP(Roster!$E$12,Team!$BL$2:$MK$128,9,FALSE)</f>
        <v>#N/A</v>
      </c>
      <c r="AI10" s="76" t="e">
        <f>HLOOKUP(Roster!$E$13,Team!$BL$2:$MK$128,9,FALSE)</f>
        <v>#N/A</v>
      </c>
      <c r="AJ10" s="76" t="e">
        <f>HLOOKUP(Roster!$E$14,Team!$BL$2:$MK$128,9,FALSE)</f>
        <v>#N/A</v>
      </c>
      <c r="AK10" s="76" t="e">
        <f>HLOOKUP(Roster!$E$15,Team!$BL$2:$MK$128,9,FALSE)</f>
        <v>#N/A</v>
      </c>
      <c r="AL10" s="76" t="e">
        <f>HLOOKUP(Roster!$E$16,Team!$BL$2:$MK$128,9,FALSE)</f>
        <v>#N/A</v>
      </c>
      <c r="AM10" s="76" t="e">
        <f>HLOOKUP(Roster!$E$17,Team!$BL$2:$MK$128,9,FALSE)</f>
        <v>#N/A</v>
      </c>
      <c r="AN10" s="76" t="e">
        <f>HLOOKUP(Roster!$E$18,Team!$BL$2:$MK$128,9,FALSE)</f>
        <v>#N/A</v>
      </c>
      <c r="AO10" s="76" t="e">
        <f>HLOOKUP(Roster!$E$19,Team!$BL$2:$MK$128,9,FALSE)</f>
        <v>#N/A</v>
      </c>
      <c r="AP10" s="76" t="e">
        <f>HLOOKUP(Roster!$E$20,Team!$BL$2:$MK$128,9,FALSE)</f>
        <v>#N/A</v>
      </c>
      <c r="AR10" s="108">
        <f t="shared" si="1"/>
        <v>0</v>
      </c>
      <c r="AS10" s="108">
        <f t="shared" si="2"/>
        <v>0</v>
      </c>
      <c r="AT10" s="108">
        <f t="shared" si="3"/>
        <v>0</v>
      </c>
      <c r="AU10" s="108">
        <f t="shared" si="4"/>
        <v>0</v>
      </c>
      <c r="AV10" s="108">
        <f t="shared" si="5"/>
        <v>0</v>
      </c>
      <c r="AW10" s="108">
        <f t="shared" si="6"/>
        <v>0</v>
      </c>
      <c r="AX10" s="108">
        <f t="shared" si="7"/>
        <v>0</v>
      </c>
      <c r="AY10" s="108">
        <f t="shared" si="8"/>
        <v>0</v>
      </c>
      <c r="AZ10" s="108">
        <f t="shared" si="9"/>
        <v>0</v>
      </c>
      <c r="BA10" s="108">
        <f t="shared" si="10"/>
        <v>0</v>
      </c>
      <c r="BB10" s="108">
        <f t="shared" si="11"/>
        <v>0</v>
      </c>
      <c r="BC10" s="108">
        <f t="shared" si="12"/>
        <v>0</v>
      </c>
      <c r="BD10" s="108">
        <f t="shared" si="13"/>
        <v>0</v>
      </c>
      <c r="BE10" s="108">
        <f t="shared" si="14"/>
        <v>0</v>
      </c>
      <c r="BF10" s="108">
        <f t="shared" si="15"/>
        <v>0</v>
      </c>
      <c r="BG10" s="108">
        <f t="shared" si="16"/>
        <v>0</v>
      </c>
      <c r="BL10" s="74" t="s">
        <v>276</v>
      </c>
      <c r="BM10" s="74" t="s">
        <v>276</v>
      </c>
      <c r="BN10" s="74" t="s">
        <v>276</v>
      </c>
      <c r="BO10" s="74" t="s">
        <v>276</v>
      </c>
      <c r="BP10" s="74" t="s">
        <v>276</v>
      </c>
      <c r="BQ10" s="74"/>
      <c r="BR10" s="74" t="s">
        <v>276</v>
      </c>
      <c r="BS10" s="74" t="s">
        <v>276</v>
      </c>
      <c r="BT10" s="74" t="s">
        <v>276</v>
      </c>
      <c r="BU10" s="74" t="s">
        <v>276</v>
      </c>
      <c r="BV10" s="74"/>
      <c r="BW10" s="80" t="s">
        <v>276</v>
      </c>
      <c r="BX10" s="74" t="s">
        <v>276</v>
      </c>
      <c r="BY10" s="74" t="s">
        <v>276</v>
      </c>
      <c r="BZ10" s="74" t="s">
        <v>276</v>
      </c>
      <c r="CA10" s="74" t="s">
        <v>276</v>
      </c>
      <c r="CB10" s="80" t="s">
        <v>276</v>
      </c>
      <c r="CC10" s="77"/>
      <c r="CD10" s="74" t="s">
        <v>276</v>
      </c>
      <c r="CE10" s="74" t="s">
        <v>276</v>
      </c>
      <c r="CF10" s="74" t="s">
        <v>276</v>
      </c>
      <c r="CG10" s="74" t="s">
        <v>276</v>
      </c>
      <c r="CH10" s="74" t="s">
        <v>276</v>
      </c>
      <c r="CI10" s="77"/>
      <c r="CJ10" s="74" t="s">
        <v>276</v>
      </c>
      <c r="CK10" s="80" t="s">
        <v>276</v>
      </c>
      <c r="CL10" s="81" t="s">
        <v>268</v>
      </c>
      <c r="CM10" s="74" t="s">
        <v>276</v>
      </c>
      <c r="CN10" s="74" t="s">
        <v>276</v>
      </c>
      <c r="CO10" s="80" t="s">
        <v>276</v>
      </c>
      <c r="CP10" s="74" t="s">
        <v>276</v>
      </c>
      <c r="CQ10" s="74" t="s">
        <v>276</v>
      </c>
      <c r="CR10" s="74" t="s">
        <v>276</v>
      </c>
      <c r="CS10" s="74" t="s">
        <v>276</v>
      </c>
      <c r="CT10" s="74" t="s">
        <v>276</v>
      </c>
      <c r="CU10" s="74"/>
      <c r="CV10" s="74" t="s">
        <v>276</v>
      </c>
      <c r="CW10" s="74" t="s">
        <v>276</v>
      </c>
      <c r="CX10" s="74" t="s">
        <v>276</v>
      </c>
      <c r="CY10" s="74" t="s">
        <v>276</v>
      </c>
      <c r="CZ10" s="74" t="s">
        <v>276</v>
      </c>
      <c r="DA10" s="74"/>
      <c r="DB10" s="74" t="s">
        <v>276</v>
      </c>
      <c r="DC10" s="74" t="s">
        <v>276</v>
      </c>
      <c r="DD10" s="74" t="s">
        <v>276</v>
      </c>
      <c r="DE10" s="74" t="s">
        <v>276</v>
      </c>
      <c r="DF10" s="74" t="s">
        <v>276</v>
      </c>
      <c r="DG10" s="74" t="s">
        <v>276</v>
      </c>
      <c r="DH10" s="74"/>
      <c r="DI10" s="74" t="s">
        <v>276</v>
      </c>
      <c r="DJ10" s="74" t="s">
        <v>276</v>
      </c>
      <c r="DK10" s="74" t="s">
        <v>276</v>
      </c>
      <c r="DL10" s="74" t="s">
        <v>276</v>
      </c>
      <c r="DM10" s="74" t="s">
        <v>276</v>
      </c>
      <c r="DN10" s="74" t="s">
        <v>276</v>
      </c>
      <c r="DO10" s="74"/>
      <c r="DP10" s="74" t="s">
        <v>276</v>
      </c>
      <c r="DQ10" s="74" t="s">
        <v>276</v>
      </c>
      <c r="DR10" s="74" t="s">
        <v>276</v>
      </c>
      <c r="DS10" s="74" t="s">
        <v>276</v>
      </c>
      <c r="DT10" s="74" t="s">
        <v>276</v>
      </c>
      <c r="DU10" s="74"/>
      <c r="DV10" s="74" t="s">
        <v>276</v>
      </c>
      <c r="DW10" s="74" t="s">
        <v>276</v>
      </c>
      <c r="DX10" s="74" t="s">
        <v>276</v>
      </c>
      <c r="DY10" s="74" t="s">
        <v>276</v>
      </c>
      <c r="DZ10" s="74" t="s">
        <v>276</v>
      </c>
      <c r="EA10" s="74" t="s">
        <v>276</v>
      </c>
      <c r="EB10" s="74" t="s">
        <v>276</v>
      </c>
      <c r="EC10" s="74" t="s">
        <v>276</v>
      </c>
      <c r="ED10" s="74" t="s">
        <v>276</v>
      </c>
      <c r="EE10" s="74"/>
      <c r="EF10" s="74" t="s">
        <v>276</v>
      </c>
      <c r="EG10" s="74" t="s">
        <v>276</v>
      </c>
      <c r="EH10" s="74" t="s">
        <v>276</v>
      </c>
      <c r="EI10" s="74" t="s">
        <v>276</v>
      </c>
      <c r="EJ10" s="74" t="s">
        <v>276</v>
      </c>
      <c r="EK10" s="74"/>
      <c r="EL10" s="74" t="s">
        <v>276</v>
      </c>
      <c r="EM10" s="74" t="s">
        <v>276</v>
      </c>
      <c r="EN10" s="74" t="s">
        <v>276</v>
      </c>
      <c r="EO10" s="74" t="s">
        <v>276</v>
      </c>
      <c r="EP10" s="74" t="s">
        <v>276</v>
      </c>
      <c r="EQ10" s="74"/>
      <c r="ER10" s="74" t="s">
        <v>276</v>
      </c>
      <c r="ES10" s="74" t="s">
        <v>276</v>
      </c>
      <c r="ET10" s="74" t="s">
        <v>276</v>
      </c>
      <c r="EU10" s="74" t="s">
        <v>276</v>
      </c>
      <c r="EV10" s="74" t="s">
        <v>276</v>
      </c>
      <c r="EW10" s="74" t="s">
        <v>276</v>
      </c>
      <c r="EX10" s="74" t="s">
        <v>276</v>
      </c>
      <c r="EY10" s="74"/>
      <c r="EZ10" s="74" t="s">
        <v>276</v>
      </c>
      <c r="FA10" s="74" t="s">
        <v>276</v>
      </c>
      <c r="FB10" s="74" t="s">
        <v>276</v>
      </c>
      <c r="FC10" s="74" t="s">
        <v>276</v>
      </c>
      <c r="FD10" s="74" t="s">
        <v>276</v>
      </c>
      <c r="FE10" s="74" t="s">
        <v>276</v>
      </c>
      <c r="FF10" s="74"/>
      <c r="FG10" s="74" t="s">
        <v>276</v>
      </c>
      <c r="FH10" s="80" t="s">
        <v>276</v>
      </c>
      <c r="FI10" s="74" t="s">
        <v>276</v>
      </c>
      <c r="FJ10" s="74" t="s">
        <v>276</v>
      </c>
      <c r="FK10" s="74" t="s">
        <v>276</v>
      </c>
      <c r="FL10" s="74"/>
      <c r="FM10" s="74" t="s">
        <v>276</v>
      </c>
      <c r="FN10" s="74" t="s">
        <v>276</v>
      </c>
      <c r="FO10" s="74" t="s">
        <v>276</v>
      </c>
      <c r="FP10" s="74" t="s">
        <v>276</v>
      </c>
      <c r="FQ10" s="74" t="s">
        <v>276</v>
      </c>
      <c r="FR10" s="74"/>
      <c r="FS10" s="74" t="s">
        <v>276</v>
      </c>
      <c r="FT10" s="74" t="s">
        <v>276</v>
      </c>
      <c r="FU10" s="74" t="s">
        <v>276</v>
      </c>
      <c r="FV10" s="74" t="s">
        <v>276</v>
      </c>
      <c r="FW10" s="74" t="s">
        <v>276</v>
      </c>
      <c r="FX10" s="74" t="s">
        <v>276</v>
      </c>
      <c r="FY10" s="74"/>
      <c r="FZ10" s="74" t="s">
        <v>276</v>
      </c>
      <c r="GA10" s="80" t="s">
        <v>259</v>
      </c>
      <c r="GB10" s="74" t="s">
        <v>276</v>
      </c>
      <c r="GC10" s="74" t="s">
        <v>276</v>
      </c>
      <c r="GD10" s="74" t="s">
        <v>276</v>
      </c>
      <c r="GE10" s="74" t="s">
        <v>276</v>
      </c>
      <c r="GF10" s="74" t="s">
        <v>276</v>
      </c>
      <c r="GG10" s="74"/>
      <c r="GH10" s="74" t="s">
        <v>276</v>
      </c>
      <c r="GI10" s="80" t="s">
        <v>276</v>
      </c>
      <c r="GJ10" s="74" t="s">
        <v>276</v>
      </c>
      <c r="GK10" s="74" t="s">
        <v>276</v>
      </c>
      <c r="GL10" s="74" t="s">
        <v>276</v>
      </c>
      <c r="GM10" s="74"/>
      <c r="GN10" s="81" t="s">
        <v>232</v>
      </c>
      <c r="GO10" s="74" t="s">
        <v>276</v>
      </c>
      <c r="GP10" s="74" t="s">
        <v>276</v>
      </c>
      <c r="GQ10" s="81" t="s">
        <v>232</v>
      </c>
      <c r="GR10" s="81"/>
      <c r="GS10" s="74" t="s">
        <v>276</v>
      </c>
      <c r="GT10" s="74" t="s">
        <v>276</v>
      </c>
      <c r="GU10" s="74" t="s">
        <v>276</v>
      </c>
      <c r="GV10" s="74" t="s">
        <v>276</v>
      </c>
      <c r="GW10" s="74" t="s">
        <v>276</v>
      </c>
      <c r="GX10" s="74" t="s">
        <v>276</v>
      </c>
      <c r="GY10" s="74" t="s">
        <v>276</v>
      </c>
      <c r="GZ10" s="74" t="s">
        <v>276</v>
      </c>
      <c r="HA10" s="74" t="s">
        <v>276</v>
      </c>
      <c r="HB10" s="74" t="s">
        <v>276</v>
      </c>
      <c r="HC10" s="74" t="s">
        <v>276</v>
      </c>
      <c r="HD10" s="74" t="s">
        <v>276</v>
      </c>
      <c r="HE10" s="74"/>
      <c r="HF10" s="74" t="s">
        <v>276</v>
      </c>
      <c r="HG10" s="74" t="s">
        <v>276</v>
      </c>
      <c r="HH10" s="74" t="s">
        <v>276</v>
      </c>
      <c r="HI10" s="74" t="s">
        <v>276</v>
      </c>
      <c r="HJ10" s="74" t="s">
        <v>276</v>
      </c>
      <c r="HK10" s="74" t="s">
        <v>276</v>
      </c>
      <c r="HL10" s="74" t="s">
        <v>276</v>
      </c>
      <c r="HM10" s="74"/>
      <c r="HN10" s="74" t="s">
        <v>276</v>
      </c>
      <c r="HO10" s="74" t="s">
        <v>276</v>
      </c>
      <c r="HP10" s="74" t="s">
        <v>276</v>
      </c>
      <c r="HQ10" s="74" t="s">
        <v>276</v>
      </c>
      <c r="HR10" s="74" t="s">
        <v>276</v>
      </c>
      <c r="HS10" s="74" t="s">
        <v>276</v>
      </c>
      <c r="HT10" s="74"/>
      <c r="HU10" s="74" t="s">
        <v>276</v>
      </c>
      <c r="HV10" s="74" t="s">
        <v>276</v>
      </c>
      <c r="HW10" s="74" t="s">
        <v>276</v>
      </c>
      <c r="HX10" s="74" t="s">
        <v>276</v>
      </c>
      <c r="HY10" s="74" t="s">
        <v>276</v>
      </c>
      <c r="HZ10" s="74" t="s">
        <v>276</v>
      </c>
      <c r="IA10" s="74"/>
      <c r="IB10" s="74" t="s">
        <v>276</v>
      </c>
      <c r="IC10" s="80" t="s">
        <v>276</v>
      </c>
      <c r="ID10" s="80" t="s">
        <v>276</v>
      </c>
      <c r="IE10" s="80" t="s">
        <v>276</v>
      </c>
      <c r="IF10" s="74" t="s">
        <v>276</v>
      </c>
      <c r="IG10" s="74" t="s">
        <v>276</v>
      </c>
      <c r="IH10" s="74"/>
      <c r="II10" s="74" t="s">
        <v>276</v>
      </c>
      <c r="IJ10" s="74" t="s">
        <v>276</v>
      </c>
      <c r="IK10" s="74" t="s">
        <v>276</v>
      </c>
      <c r="IL10" s="74" t="s">
        <v>276</v>
      </c>
      <c r="IM10" s="74" t="s">
        <v>276</v>
      </c>
      <c r="IN10" s="74"/>
      <c r="IO10" s="81" t="s">
        <v>232</v>
      </c>
      <c r="IP10" s="75" t="s">
        <v>268</v>
      </c>
      <c r="IQ10" s="81" t="s">
        <v>232</v>
      </c>
      <c r="IR10" s="81" t="s">
        <v>232</v>
      </c>
      <c r="IS10" s="74" t="s">
        <v>276</v>
      </c>
      <c r="IT10" s="74" t="s">
        <v>276</v>
      </c>
      <c r="IU10" s="81" t="s">
        <v>232</v>
      </c>
      <c r="IV10" s="81"/>
      <c r="IW10" s="74" t="s">
        <v>276</v>
      </c>
      <c r="IX10" s="75" t="s">
        <v>268</v>
      </c>
      <c r="IY10" s="74" t="s">
        <v>276</v>
      </c>
      <c r="IZ10" s="74" t="s">
        <v>276</v>
      </c>
      <c r="JA10" s="74" t="s">
        <v>276</v>
      </c>
      <c r="JB10" s="81"/>
      <c r="JC10" s="74" t="s">
        <v>276</v>
      </c>
      <c r="JD10" s="81" t="s">
        <v>241</v>
      </c>
      <c r="JE10" s="74" t="s">
        <v>276</v>
      </c>
      <c r="JF10" s="80" t="s">
        <v>276</v>
      </c>
      <c r="JG10" s="80" t="s">
        <v>276</v>
      </c>
      <c r="JH10" s="80" t="s">
        <v>276</v>
      </c>
      <c r="JI10" s="80" t="s">
        <v>276</v>
      </c>
      <c r="JJ10" s="74" t="s">
        <v>276</v>
      </c>
      <c r="JK10" s="74" t="s">
        <v>276</v>
      </c>
      <c r="JL10" s="74"/>
      <c r="JM10" s="74" t="s">
        <v>276</v>
      </c>
      <c r="JN10" s="74" t="s">
        <v>276</v>
      </c>
      <c r="JO10" s="74" t="s">
        <v>276</v>
      </c>
      <c r="JP10" s="74"/>
      <c r="JQ10" s="74" t="s">
        <v>276</v>
      </c>
      <c r="JR10" s="74" t="s">
        <v>276</v>
      </c>
      <c r="JS10" s="74" t="s">
        <v>276</v>
      </c>
      <c r="JT10" s="74" t="s">
        <v>276</v>
      </c>
      <c r="JU10" s="74" t="s">
        <v>276</v>
      </c>
      <c r="JV10" s="74" t="s">
        <v>276</v>
      </c>
    </row>
    <row r="11" spans="1:282" x14ac:dyDescent="0.15">
      <c r="A11" s="214" t="s">
        <v>493</v>
      </c>
      <c r="B11" s="6" t="s">
        <v>484</v>
      </c>
      <c r="C11" s="6">
        <v>60000</v>
      </c>
      <c r="D11" s="6">
        <v>16</v>
      </c>
      <c r="E11" s="6">
        <v>6</v>
      </c>
      <c r="F11" s="6">
        <v>3</v>
      </c>
      <c r="G11" s="6" t="s">
        <v>36</v>
      </c>
      <c r="H11" s="6" t="s">
        <v>37</v>
      </c>
      <c r="I11" s="6" t="s">
        <v>46</v>
      </c>
      <c r="J11" s="21" t="s">
        <v>47</v>
      </c>
      <c r="K11" s="21">
        <v>1</v>
      </c>
      <c r="L11" s="21">
        <v>2</v>
      </c>
      <c r="M11" s="21">
        <v>1</v>
      </c>
      <c r="N11" s="21">
        <v>2</v>
      </c>
      <c r="O11" s="21">
        <v>1</v>
      </c>
      <c r="P11" s="21" t="str">
        <f>IF(TeamT[[#This Row],[General]]+TeamT[[#This Row],[Agility]]+TeamT[[#This Row],[Strength]]+TeamT[[#This Row],[Passing]]+TeamT[[#This Row],[Mutation]]&gt;0,IF(TeamT[[#This Row],[General]]=1,"G","")&amp;IF(TeamT[[#This Row],[Agility]]=1,"A","")&amp;IF(TeamT[[#This Row],[Strength]]=1,"S","")&amp;IF(TeamT[[#This Row],[Passing]]=1,"P","")&amp;IF(TeamT[[#This Row],[Mutation]]=1,"M",""),"Star")</f>
        <v>GSM</v>
      </c>
      <c r="Q11" s="21" t="str">
        <f>IF(TeamT[[#This Row],[General]]=2,"G","")&amp;IF(TeamT[[#This Row],[Agility]]=2,"A","")&amp;IF(TeamT[[#This Row],[Strength]]=2,"S","")&amp;IF(TeamT[[#This Row],[Passing]]=2,"P","")&amp;IF(TeamT[[#This Row],[Mutation]]=2,"M","")</f>
        <v>AP</v>
      </c>
      <c r="R11" s="212"/>
      <c r="S11" s="21">
        <v>3</v>
      </c>
      <c r="T11" s="21">
        <v>4</v>
      </c>
      <c r="U11" s="21">
        <v>9</v>
      </c>
      <c r="AA11" s="76" t="e">
        <f>HLOOKUP(Roster!$E$5,Team!$BL$2:$MK$128,10,FALSE)</f>
        <v>#N/A</v>
      </c>
      <c r="AB11" s="76" t="e">
        <f>HLOOKUP(Roster!$E$6,Team!$BL$2:$MK$128,10,FALSE)</f>
        <v>#N/A</v>
      </c>
      <c r="AC11" s="76" t="e">
        <f>HLOOKUP(Roster!$E$7,Team!$BL$2:$MK$128,10,FALSE)</f>
        <v>#N/A</v>
      </c>
      <c r="AD11" s="76" t="e">
        <f>HLOOKUP(Roster!$E$8,Team!$BL$2:$MK$128,10,FALSE)</f>
        <v>#N/A</v>
      </c>
      <c r="AE11" s="76" t="e">
        <f>HLOOKUP(Roster!$E$9,Team!$BL$2:$MK$128,10,FALSE)</f>
        <v>#N/A</v>
      </c>
      <c r="AF11" s="76" t="e">
        <f>HLOOKUP(Roster!$E$10,Team!$BL$2:$MK$128,10,FALSE)</f>
        <v>#N/A</v>
      </c>
      <c r="AG11" s="76" t="e">
        <f>HLOOKUP(Roster!$E$11,Team!$BL$2:$MK$128,10,FALSE)</f>
        <v>#N/A</v>
      </c>
      <c r="AH11" s="76" t="e">
        <f>HLOOKUP(Roster!$E$12,Team!$BL$2:$MK$128,10,FALSE)</f>
        <v>#N/A</v>
      </c>
      <c r="AI11" s="76" t="e">
        <f>HLOOKUP(Roster!$E$13,Team!$BL$2:$MK$128,10,FALSE)</f>
        <v>#N/A</v>
      </c>
      <c r="AJ11" s="76" t="e">
        <f>HLOOKUP(Roster!$E$14,Team!$BL$2:$MK$128,10,FALSE)</f>
        <v>#N/A</v>
      </c>
      <c r="AK11" s="76" t="e">
        <f>HLOOKUP(Roster!$E$15,Team!$BL$2:$MK$128,10,FALSE)</f>
        <v>#N/A</v>
      </c>
      <c r="AL11" s="76" t="e">
        <f>HLOOKUP(Roster!$E$16,Team!$BL$2:$MK$128,10,FALSE)</f>
        <v>#N/A</v>
      </c>
      <c r="AM11" s="76" t="e">
        <f>HLOOKUP(Roster!$E$17,Team!$BL$2:$MK$128,10,FALSE)</f>
        <v>#N/A</v>
      </c>
      <c r="AN11" s="76" t="e">
        <f>HLOOKUP(Roster!$E$18,Team!$BL$2:$MK$128,10,FALSE)</f>
        <v>#N/A</v>
      </c>
      <c r="AO11" s="76" t="e">
        <f>HLOOKUP(Roster!$E$19,Team!$BL$2:$MK$128,10,FALSE)</f>
        <v>#N/A</v>
      </c>
      <c r="AP11" s="76" t="e">
        <f>HLOOKUP(Roster!$E$20,Team!$BL$2:$MK$128,10,FALSE)</f>
        <v>#N/A</v>
      </c>
      <c r="AR11" s="108">
        <f t="shared" si="1"/>
        <v>0</v>
      </c>
      <c r="AS11" s="108">
        <f t="shared" si="2"/>
        <v>0</v>
      </c>
      <c r="AT11" s="108">
        <f t="shared" si="3"/>
        <v>0</v>
      </c>
      <c r="AU11" s="108">
        <f t="shared" si="4"/>
        <v>0</v>
      </c>
      <c r="AV11" s="108">
        <f t="shared" si="5"/>
        <v>0</v>
      </c>
      <c r="AW11" s="108">
        <f t="shared" si="6"/>
        <v>0</v>
      </c>
      <c r="AX11" s="108">
        <f t="shared" si="7"/>
        <v>0</v>
      </c>
      <c r="AY11" s="108">
        <f t="shared" si="8"/>
        <v>0</v>
      </c>
      <c r="AZ11" s="108">
        <f t="shared" si="9"/>
        <v>0</v>
      </c>
      <c r="BA11" s="108">
        <f t="shared" si="10"/>
        <v>0</v>
      </c>
      <c r="BB11" s="108">
        <f t="shared" si="11"/>
        <v>0</v>
      </c>
      <c r="BC11" s="108">
        <f t="shared" si="12"/>
        <v>0</v>
      </c>
      <c r="BD11" s="108">
        <f t="shared" si="13"/>
        <v>0</v>
      </c>
      <c r="BE11" s="108">
        <f t="shared" si="14"/>
        <v>0</v>
      </c>
      <c r="BF11" s="108">
        <f t="shared" si="15"/>
        <v>0</v>
      </c>
      <c r="BG11" s="108">
        <f t="shared" si="16"/>
        <v>0</v>
      </c>
      <c r="BL11" s="75" t="s">
        <v>251</v>
      </c>
      <c r="BM11" s="75" t="s">
        <v>251</v>
      </c>
      <c r="BN11" s="75" t="s">
        <v>251</v>
      </c>
      <c r="BO11" s="75" t="s">
        <v>251</v>
      </c>
      <c r="BP11" s="75" t="s">
        <v>251</v>
      </c>
      <c r="BQ11" s="75"/>
      <c r="BR11" s="75" t="s">
        <v>251</v>
      </c>
      <c r="BS11" s="75" t="s">
        <v>251</v>
      </c>
      <c r="BT11" s="75" t="s">
        <v>251</v>
      </c>
      <c r="BU11" s="75" t="s">
        <v>251</v>
      </c>
      <c r="BV11" s="75"/>
      <c r="BW11" s="81" t="s">
        <v>251</v>
      </c>
      <c r="BX11" s="75" t="s">
        <v>251</v>
      </c>
      <c r="BY11" s="75" t="s">
        <v>251</v>
      </c>
      <c r="BZ11" s="75" t="s">
        <v>251</v>
      </c>
      <c r="CA11" s="75" t="s">
        <v>251</v>
      </c>
      <c r="CB11" s="81" t="s">
        <v>251</v>
      </c>
      <c r="CC11" s="77"/>
      <c r="CD11" s="75" t="s">
        <v>251</v>
      </c>
      <c r="CE11" s="75" t="s">
        <v>251</v>
      </c>
      <c r="CF11" s="75" t="s">
        <v>251</v>
      </c>
      <c r="CG11" s="75" t="s">
        <v>251</v>
      </c>
      <c r="CH11" s="75" t="s">
        <v>251</v>
      </c>
      <c r="CI11" s="77"/>
      <c r="CJ11" s="75" t="s">
        <v>251</v>
      </c>
      <c r="CK11" s="81" t="s">
        <v>251</v>
      </c>
      <c r="CL11" s="81" t="s">
        <v>269</v>
      </c>
      <c r="CM11" s="75" t="s">
        <v>251</v>
      </c>
      <c r="CN11" s="75" t="s">
        <v>251</v>
      </c>
      <c r="CO11" s="81" t="s">
        <v>251</v>
      </c>
      <c r="CP11" s="75" t="s">
        <v>251</v>
      </c>
      <c r="CQ11" s="75" t="s">
        <v>251</v>
      </c>
      <c r="CR11" s="75" t="s">
        <v>251</v>
      </c>
      <c r="CS11" s="75" t="s">
        <v>251</v>
      </c>
      <c r="CT11" s="75" t="s">
        <v>251</v>
      </c>
      <c r="CU11" s="75"/>
      <c r="CV11" s="75" t="s">
        <v>251</v>
      </c>
      <c r="CW11" s="75" t="s">
        <v>251</v>
      </c>
      <c r="CX11" s="75" t="s">
        <v>251</v>
      </c>
      <c r="CY11" s="75" t="s">
        <v>251</v>
      </c>
      <c r="CZ11" s="75" t="s">
        <v>251</v>
      </c>
      <c r="DA11" s="75"/>
      <c r="DB11" s="75" t="s">
        <v>251</v>
      </c>
      <c r="DC11" s="75" t="s">
        <v>251</v>
      </c>
      <c r="DD11" s="75" t="s">
        <v>251</v>
      </c>
      <c r="DE11" s="75" t="s">
        <v>251</v>
      </c>
      <c r="DF11" s="75" t="s">
        <v>251</v>
      </c>
      <c r="DG11" s="75" t="s">
        <v>251</v>
      </c>
      <c r="DH11" s="75"/>
      <c r="DI11" s="75" t="s">
        <v>251</v>
      </c>
      <c r="DJ11" s="75" t="s">
        <v>251</v>
      </c>
      <c r="DK11" s="75" t="s">
        <v>251</v>
      </c>
      <c r="DL11" s="75" t="s">
        <v>251</v>
      </c>
      <c r="DM11" s="75" t="s">
        <v>251</v>
      </c>
      <c r="DN11" s="75" t="s">
        <v>251</v>
      </c>
      <c r="DO11" s="75"/>
      <c r="DP11" s="75" t="s">
        <v>251</v>
      </c>
      <c r="DQ11" s="75" t="s">
        <v>251</v>
      </c>
      <c r="DR11" s="75" t="s">
        <v>251</v>
      </c>
      <c r="DS11" s="75" t="s">
        <v>251</v>
      </c>
      <c r="DT11" s="75" t="s">
        <v>251</v>
      </c>
      <c r="DU11" s="75"/>
      <c r="DV11" s="75" t="s">
        <v>251</v>
      </c>
      <c r="DW11" s="75" t="s">
        <v>251</v>
      </c>
      <c r="DX11" s="75" t="s">
        <v>251</v>
      </c>
      <c r="DY11" s="75" t="s">
        <v>251</v>
      </c>
      <c r="DZ11" s="75" t="s">
        <v>251</v>
      </c>
      <c r="EA11" s="75" t="s">
        <v>251</v>
      </c>
      <c r="EB11" s="75" t="s">
        <v>251</v>
      </c>
      <c r="EC11" s="75" t="s">
        <v>251</v>
      </c>
      <c r="ED11" s="75" t="s">
        <v>251</v>
      </c>
      <c r="EE11" s="75"/>
      <c r="EF11" s="75" t="s">
        <v>251</v>
      </c>
      <c r="EG11" s="75" t="s">
        <v>251</v>
      </c>
      <c r="EH11" s="75" t="s">
        <v>251</v>
      </c>
      <c r="EI11" s="75" t="s">
        <v>251</v>
      </c>
      <c r="EJ11" s="75" t="s">
        <v>251</v>
      </c>
      <c r="EK11" s="75"/>
      <c r="EL11" s="75" t="s">
        <v>251</v>
      </c>
      <c r="EM11" s="75" t="s">
        <v>251</v>
      </c>
      <c r="EN11" s="75" t="s">
        <v>251</v>
      </c>
      <c r="EO11" s="75" t="s">
        <v>251</v>
      </c>
      <c r="EP11" s="75" t="s">
        <v>251</v>
      </c>
      <c r="EQ11" s="75"/>
      <c r="ER11" s="75" t="s">
        <v>251</v>
      </c>
      <c r="ES11" s="75" t="s">
        <v>251</v>
      </c>
      <c r="ET11" s="75" t="s">
        <v>251</v>
      </c>
      <c r="EU11" s="75" t="s">
        <v>251</v>
      </c>
      <c r="EV11" s="75" t="s">
        <v>251</v>
      </c>
      <c r="EW11" s="75" t="s">
        <v>251</v>
      </c>
      <c r="EX11" s="75" t="s">
        <v>251</v>
      </c>
      <c r="EY11" s="75"/>
      <c r="EZ11" s="75" t="s">
        <v>251</v>
      </c>
      <c r="FA11" s="75" t="s">
        <v>251</v>
      </c>
      <c r="FB11" s="75" t="s">
        <v>251</v>
      </c>
      <c r="FC11" s="75" t="s">
        <v>251</v>
      </c>
      <c r="FD11" s="75" t="s">
        <v>251</v>
      </c>
      <c r="FE11" s="75" t="s">
        <v>251</v>
      </c>
      <c r="FF11" s="75"/>
      <c r="FG11" s="75" t="s">
        <v>251</v>
      </c>
      <c r="FH11" s="81" t="s">
        <v>251</v>
      </c>
      <c r="FI11" s="75" t="s">
        <v>251</v>
      </c>
      <c r="FJ11" s="75" t="s">
        <v>251</v>
      </c>
      <c r="FK11" s="75" t="s">
        <v>251</v>
      </c>
      <c r="FL11" s="75"/>
      <c r="FM11" s="75" t="s">
        <v>251</v>
      </c>
      <c r="FN11" s="75" t="s">
        <v>251</v>
      </c>
      <c r="FO11" s="75" t="s">
        <v>251</v>
      </c>
      <c r="FP11" s="75" t="s">
        <v>251</v>
      </c>
      <c r="FQ11" s="75" t="s">
        <v>251</v>
      </c>
      <c r="FR11" s="75"/>
      <c r="FS11" s="75" t="s">
        <v>251</v>
      </c>
      <c r="FT11" s="75" t="s">
        <v>251</v>
      </c>
      <c r="FU11" s="75" t="s">
        <v>251</v>
      </c>
      <c r="FV11" s="75" t="s">
        <v>251</v>
      </c>
      <c r="FW11" s="75" t="s">
        <v>251</v>
      </c>
      <c r="FX11" s="75" t="s">
        <v>251</v>
      </c>
      <c r="FY11" s="75"/>
      <c r="FZ11" s="75" t="s">
        <v>251</v>
      </c>
      <c r="GA11" s="81" t="s">
        <v>225</v>
      </c>
      <c r="GB11" s="75" t="s">
        <v>251</v>
      </c>
      <c r="GC11" s="75" t="s">
        <v>251</v>
      </c>
      <c r="GD11" s="75" t="s">
        <v>251</v>
      </c>
      <c r="GE11" s="75" t="s">
        <v>251</v>
      </c>
      <c r="GF11" s="75" t="s">
        <v>251</v>
      </c>
      <c r="GG11" s="75"/>
      <c r="GH11" s="75" t="s">
        <v>251</v>
      </c>
      <c r="GI11" s="81" t="s">
        <v>251</v>
      </c>
      <c r="GJ11" s="75" t="s">
        <v>251</v>
      </c>
      <c r="GK11" s="75" t="s">
        <v>251</v>
      </c>
      <c r="GL11" s="75" t="s">
        <v>251</v>
      </c>
      <c r="GM11" s="75"/>
      <c r="GN11" s="81" t="s">
        <v>262</v>
      </c>
      <c r="GO11" s="75" t="s">
        <v>251</v>
      </c>
      <c r="GP11" s="75" t="s">
        <v>251</v>
      </c>
      <c r="GQ11" s="81" t="s">
        <v>262</v>
      </c>
      <c r="GR11" s="81"/>
      <c r="GS11" s="75" t="s">
        <v>251</v>
      </c>
      <c r="GT11" s="75" t="s">
        <v>251</v>
      </c>
      <c r="GU11" s="75" t="s">
        <v>251</v>
      </c>
      <c r="GV11" s="75" t="s">
        <v>251</v>
      </c>
      <c r="GW11" s="75" t="s">
        <v>251</v>
      </c>
      <c r="GX11" s="75" t="s">
        <v>251</v>
      </c>
      <c r="GY11" s="75" t="s">
        <v>251</v>
      </c>
      <c r="GZ11" s="75" t="s">
        <v>251</v>
      </c>
      <c r="HA11" s="75" t="s">
        <v>251</v>
      </c>
      <c r="HB11" s="75" t="s">
        <v>251</v>
      </c>
      <c r="HC11" s="75" t="s">
        <v>251</v>
      </c>
      <c r="HD11" s="75" t="s">
        <v>251</v>
      </c>
      <c r="HE11" s="75"/>
      <c r="HF11" s="75" t="s">
        <v>251</v>
      </c>
      <c r="HG11" s="75" t="s">
        <v>251</v>
      </c>
      <c r="HH11" s="75" t="s">
        <v>251</v>
      </c>
      <c r="HI11" s="75" t="s">
        <v>251</v>
      </c>
      <c r="HJ11" s="75" t="s">
        <v>251</v>
      </c>
      <c r="HK11" s="75" t="s">
        <v>251</v>
      </c>
      <c r="HL11" s="75" t="s">
        <v>251</v>
      </c>
      <c r="HM11" s="75"/>
      <c r="HN11" s="75" t="s">
        <v>251</v>
      </c>
      <c r="HO11" s="75" t="s">
        <v>251</v>
      </c>
      <c r="HP11" s="75" t="s">
        <v>251</v>
      </c>
      <c r="HQ11" s="75" t="s">
        <v>251</v>
      </c>
      <c r="HR11" s="75" t="s">
        <v>251</v>
      </c>
      <c r="HS11" s="75" t="s">
        <v>251</v>
      </c>
      <c r="HT11" s="75"/>
      <c r="HU11" s="75" t="s">
        <v>251</v>
      </c>
      <c r="HV11" s="75" t="s">
        <v>251</v>
      </c>
      <c r="HW11" s="75" t="s">
        <v>251</v>
      </c>
      <c r="HX11" s="75" t="s">
        <v>251</v>
      </c>
      <c r="HY11" s="75" t="s">
        <v>251</v>
      </c>
      <c r="HZ11" s="75" t="s">
        <v>251</v>
      </c>
      <c r="IA11" s="75"/>
      <c r="IB11" s="75" t="s">
        <v>251</v>
      </c>
      <c r="IC11" s="81" t="s">
        <v>251</v>
      </c>
      <c r="ID11" s="81" t="s">
        <v>251</v>
      </c>
      <c r="IE11" s="81" t="s">
        <v>251</v>
      </c>
      <c r="IF11" s="75" t="s">
        <v>251</v>
      </c>
      <c r="IG11" s="75" t="s">
        <v>251</v>
      </c>
      <c r="IH11" s="75"/>
      <c r="II11" s="75" t="s">
        <v>251</v>
      </c>
      <c r="IJ11" s="75" t="s">
        <v>251</v>
      </c>
      <c r="IK11" s="75" t="s">
        <v>251</v>
      </c>
      <c r="IL11" s="75" t="s">
        <v>251</v>
      </c>
      <c r="IM11" s="75" t="s">
        <v>251</v>
      </c>
      <c r="IN11" s="75"/>
      <c r="IO11" s="81" t="s">
        <v>262</v>
      </c>
      <c r="IP11" s="75" t="s">
        <v>269</v>
      </c>
      <c r="IQ11" s="81" t="s">
        <v>262</v>
      </c>
      <c r="IR11" s="81" t="s">
        <v>262</v>
      </c>
      <c r="IS11" s="75" t="s">
        <v>251</v>
      </c>
      <c r="IT11" s="75" t="s">
        <v>251</v>
      </c>
      <c r="IU11" s="81" t="s">
        <v>262</v>
      </c>
      <c r="IV11" s="81"/>
      <c r="IW11" s="75" t="s">
        <v>251</v>
      </c>
      <c r="IX11" s="75" t="s">
        <v>269</v>
      </c>
      <c r="IY11" s="75" t="s">
        <v>251</v>
      </c>
      <c r="IZ11" s="75" t="s">
        <v>251</v>
      </c>
      <c r="JA11" s="75" t="s">
        <v>251</v>
      </c>
      <c r="JB11" s="81"/>
      <c r="JC11" s="75" t="s">
        <v>251</v>
      </c>
      <c r="JD11" s="81" t="s">
        <v>264</v>
      </c>
      <c r="JE11" s="75" t="s">
        <v>251</v>
      </c>
      <c r="JF11" s="81" t="s">
        <v>251</v>
      </c>
      <c r="JG11" s="81" t="s">
        <v>251</v>
      </c>
      <c r="JH11" s="81" t="s">
        <v>251</v>
      </c>
      <c r="JI11" s="81" t="s">
        <v>251</v>
      </c>
      <c r="JJ11" s="75" t="s">
        <v>251</v>
      </c>
      <c r="JK11" s="75" t="s">
        <v>251</v>
      </c>
      <c r="JL11" s="75"/>
      <c r="JM11" s="75" t="s">
        <v>251</v>
      </c>
      <c r="JN11" s="75" t="s">
        <v>251</v>
      </c>
      <c r="JO11" s="75" t="s">
        <v>251</v>
      </c>
      <c r="JP11" s="75"/>
      <c r="JQ11" s="75" t="s">
        <v>251</v>
      </c>
      <c r="JR11" s="75" t="s">
        <v>251</v>
      </c>
      <c r="JS11" s="75" t="s">
        <v>251</v>
      </c>
      <c r="JT11" s="75" t="s">
        <v>251</v>
      </c>
      <c r="JU11" s="75" t="s">
        <v>251</v>
      </c>
      <c r="JV11" s="75" t="s">
        <v>251</v>
      </c>
    </row>
    <row r="12" spans="1:282" x14ac:dyDescent="0.15">
      <c r="A12" s="214" t="s">
        <v>48</v>
      </c>
      <c r="B12" s="6" t="s">
        <v>484</v>
      </c>
      <c r="C12" s="6">
        <v>100000</v>
      </c>
      <c r="D12" s="6">
        <v>4</v>
      </c>
      <c r="E12" s="6">
        <v>5</v>
      </c>
      <c r="F12" s="6">
        <v>4</v>
      </c>
      <c r="G12" s="6" t="s">
        <v>36</v>
      </c>
      <c r="H12" s="6" t="s">
        <v>40</v>
      </c>
      <c r="I12" s="6" t="s">
        <v>41</v>
      </c>
      <c r="J12" s="21"/>
      <c r="K12" s="21">
        <v>1</v>
      </c>
      <c r="L12" s="21">
        <v>2</v>
      </c>
      <c r="M12" s="21">
        <v>1</v>
      </c>
      <c r="N12" s="21">
        <v>0</v>
      </c>
      <c r="O12" s="21">
        <v>1</v>
      </c>
      <c r="P12" s="21" t="str">
        <f>IF(TeamT[[#This Row],[General]]+TeamT[[#This Row],[Agility]]+TeamT[[#This Row],[Strength]]+TeamT[[#This Row],[Passing]]+TeamT[[#This Row],[Mutation]]&gt;0,IF(TeamT[[#This Row],[General]]=1,"G","")&amp;IF(TeamT[[#This Row],[Agility]]=1,"A","")&amp;IF(TeamT[[#This Row],[Strength]]=1,"S","")&amp;IF(TeamT[[#This Row],[Passing]]=1,"P","")&amp;IF(TeamT[[#This Row],[Mutation]]=1,"M",""),"Star")</f>
        <v>GSM</v>
      </c>
      <c r="Q12" s="21" t="str">
        <f>IF(TeamT[[#This Row],[General]]=2,"G","")&amp;IF(TeamT[[#This Row],[Agility]]=2,"A","")&amp;IF(TeamT[[#This Row],[Strength]]=2,"S","")&amp;IF(TeamT[[#This Row],[Passing]]=2,"P","")&amp;IF(TeamT[[#This Row],[Mutation]]=2,"M","")</f>
        <v>A</v>
      </c>
      <c r="R12" s="212"/>
      <c r="S12" s="21">
        <v>3</v>
      </c>
      <c r="T12" s="21">
        <v>5</v>
      </c>
      <c r="U12" s="21">
        <v>10</v>
      </c>
      <c r="AA12" s="76" t="e">
        <f>HLOOKUP(Roster!$E$5,Team!$BL$2:$MK$128,11,FALSE)</f>
        <v>#N/A</v>
      </c>
      <c r="AB12" s="76" t="e">
        <f>HLOOKUP(Roster!$E$6,Team!$BL$2:$MK$128,11,FALSE)</f>
        <v>#N/A</v>
      </c>
      <c r="AC12" s="76" t="e">
        <f>HLOOKUP(Roster!$E$7,Team!$BL$2:$MK$128,11,FALSE)</f>
        <v>#N/A</v>
      </c>
      <c r="AD12" s="76" t="e">
        <f>HLOOKUP(Roster!$E$8,Team!$BL$2:$MK$128,11,FALSE)</f>
        <v>#N/A</v>
      </c>
      <c r="AE12" s="76" t="e">
        <f>HLOOKUP(Roster!$E$9,Team!$BL$2:$MK$128,11,FALSE)</f>
        <v>#N/A</v>
      </c>
      <c r="AF12" s="76" t="e">
        <f>HLOOKUP(Roster!$E$10,Team!$BL$2:$MK$128,11,FALSE)</f>
        <v>#N/A</v>
      </c>
      <c r="AG12" s="76" t="e">
        <f>HLOOKUP(Roster!$E$11,Team!$BL$2:$MK$128,11,FALSE)</f>
        <v>#N/A</v>
      </c>
      <c r="AH12" s="76" t="e">
        <f>HLOOKUP(Roster!$E$12,Team!$BL$2:$MK$128,11,FALSE)</f>
        <v>#N/A</v>
      </c>
      <c r="AI12" s="76" t="e">
        <f>HLOOKUP(Roster!$E$13,Team!$BL$2:$MK$128,11,FALSE)</f>
        <v>#N/A</v>
      </c>
      <c r="AJ12" s="76" t="e">
        <f>HLOOKUP(Roster!$E$14,Team!$BL$2:$MK$128,11,FALSE)</f>
        <v>#N/A</v>
      </c>
      <c r="AK12" s="76" t="e">
        <f>HLOOKUP(Roster!$E$15,Team!$BL$2:$MK$128,11,FALSE)</f>
        <v>#N/A</v>
      </c>
      <c r="AL12" s="76" t="e">
        <f>HLOOKUP(Roster!$E$16,Team!$BL$2:$MK$128,11,FALSE)</f>
        <v>#N/A</v>
      </c>
      <c r="AM12" s="76" t="e">
        <f>HLOOKUP(Roster!$E$17,Team!$BL$2:$MK$128,11,FALSE)</f>
        <v>#N/A</v>
      </c>
      <c r="AN12" s="76" t="e">
        <f>HLOOKUP(Roster!$E$18,Team!$BL$2:$MK$128,11,FALSE)</f>
        <v>#N/A</v>
      </c>
      <c r="AO12" s="76" t="e">
        <f>HLOOKUP(Roster!$E$19,Team!$BL$2:$MK$128,11,FALSE)</f>
        <v>#N/A</v>
      </c>
      <c r="AP12" s="76" t="e">
        <f>HLOOKUP(Roster!$E$20,Team!$BL$2:$MK$128,11,FALSE)</f>
        <v>#N/A</v>
      </c>
      <c r="AR12" s="108">
        <f t="shared" si="1"/>
        <v>0</v>
      </c>
      <c r="AS12" s="108">
        <f t="shared" si="2"/>
        <v>0</v>
      </c>
      <c r="AT12" s="108">
        <f t="shared" si="3"/>
        <v>0</v>
      </c>
      <c r="AU12" s="108">
        <f t="shared" si="4"/>
        <v>0</v>
      </c>
      <c r="AV12" s="108">
        <f t="shared" si="5"/>
        <v>0</v>
      </c>
      <c r="AW12" s="108">
        <f t="shared" si="6"/>
        <v>0</v>
      </c>
      <c r="AX12" s="108">
        <f t="shared" si="7"/>
        <v>0</v>
      </c>
      <c r="AY12" s="108">
        <f t="shared" si="8"/>
        <v>0</v>
      </c>
      <c r="AZ12" s="108">
        <f t="shared" si="9"/>
        <v>0</v>
      </c>
      <c r="BA12" s="108">
        <f t="shared" si="10"/>
        <v>0</v>
      </c>
      <c r="BB12" s="108">
        <f t="shared" si="11"/>
        <v>0</v>
      </c>
      <c r="BC12" s="108">
        <f t="shared" si="12"/>
        <v>0</v>
      </c>
      <c r="BD12" s="108">
        <f t="shared" si="13"/>
        <v>0</v>
      </c>
      <c r="BE12" s="108">
        <f t="shared" si="14"/>
        <v>0</v>
      </c>
      <c r="BF12" s="108">
        <f t="shared" si="15"/>
        <v>0</v>
      </c>
      <c r="BG12" s="108">
        <f t="shared" si="16"/>
        <v>0</v>
      </c>
      <c r="BL12" s="75" t="s">
        <v>252</v>
      </c>
      <c r="BM12" s="75" t="s">
        <v>252</v>
      </c>
      <c r="BN12" s="75" t="s">
        <v>252</v>
      </c>
      <c r="BO12" s="75" t="s">
        <v>252</v>
      </c>
      <c r="BP12" s="75" t="s">
        <v>252</v>
      </c>
      <c r="BQ12" s="75"/>
      <c r="BR12" s="75" t="s">
        <v>252</v>
      </c>
      <c r="BS12" s="75" t="s">
        <v>252</v>
      </c>
      <c r="BT12" s="75" t="s">
        <v>252</v>
      </c>
      <c r="BU12" s="75" t="s">
        <v>252</v>
      </c>
      <c r="BV12" s="75"/>
      <c r="BW12" s="81" t="s">
        <v>252</v>
      </c>
      <c r="BX12" s="75" t="s">
        <v>252</v>
      </c>
      <c r="BY12" s="75" t="s">
        <v>252</v>
      </c>
      <c r="BZ12" s="75" t="s">
        <v>252</v>
      </c>
      <c r="CA12" s="75" t="s">
        <v>252</v>
      </c>
      <c r="CB12" s="81" t="s">
        <v>252</v>
      </c>
      <c r="CC12" s="77"/>
      <c r="CD12" s="75" t="s">
        <v>252</v>
      </c>
      <c r="CE12" s="75" t="s">
        <v>252</v>
      </c>
      <c r="CF12" s="75" t="s">
        <v>252</v>
      </c>
      <c r="CG12" s="75" t="s">
        <v>252</v>
      </c>
      <c r="CH12" s="75" t="s">
        <v>252</v>
      </c>
      <c r="CI12" s="77"/>
      <c r="CJ12" s="75" t="s">
        <v>252</v>
      </c>
      <c r="CK12" s="81" t="s">
        <v>252</v>
      </c>
      <c r="CL12" s="81" t="s">
        <v>68</v>
      </c>
      <c r="CM12" s="75" t="s">
        <v>252</v>
      </c>
      <c r="CN12" s="75" t="s">
        <v>252</v>
      </c>
      <c r="CO12" s="81" t="s">
        <v>252</v>
      </c>
      <c r="CP12" s="75" t="s">
        <v>252</v>
      </c>
      <c r="CQ12" s="75" t="s">
        <v>252</v>
      </c>
      <c r="CR12" s="75" t="s">
        <v>252</v>
      </c>
      <c r="CS12" s="75" t="s">
        <v>252</v>
      </c>
      <c r="CT12" s="75" t="s">
        <v>252</v>
      </c>
      <c r="CU12" s="75"/>
      <c r="CV12" s="75" t="s">
        <v>252</v>
      </c>
      <c r="CW12" s="75" t="s">
        <v>252</v>
      </c>
      <c r="CX12" s="75" t="s">
        <v>252</v>
      </c>
      <c r="CY12" s="75" t="s">
        <v>252</v>
      </c>
      <c r="CZ12" s="75" t="s">
        <v>252</v>
      </c>
      <c r="DA12" s="75"/>
      <c r="DB12" s="75" t="s">
        <v>252</v>
      </c>
      <c r="DC12" s="75" t="s">
        <v>252</v>
      </c>
      <c r="DD12" s="75" t="s">
        <v>252</v>
      </c>
      <c r="DE12" s="75" t="s">
        <v>252</v>
      </c>
      <c r="DF12" s="75" t="s">
        <v>252</v>
      </c>
      <c r="DG12" s="75" t="s">
        <v>252</v>
      </c>
      <c r="DH12" s="75"/>
      <c r="DI12" s="75" t="s">
        <v>252</v>
      </c>
      <c r="DJ12" s="75" t="s">
        <v>252</v>
      </c>
      <c r="DK12" s="75" t="s">
        <v>252</v>
      </c>
      <c r="DL12" s="75" t="s">
        <v>252</v>
      </c>
      <c r="DM12" s="75" t="s">
        <v>252</v>
      </c>
      <c r="DN12" s="75" t="s">
        <v>252</v>
      </c>
      <c r="DO12" s="75"/>
      <c r="DP12" s="75" t="s">
        <v>252</v>
      </c>
      <c r="DQ12" s="75" t="s">
        <v>252</v>
      </c>
      <c r="DR12" s="75" t="s">
        <v>252</v>
      </c>
      <c r="DS12" s="75" t="s">
        <v>252</v>
      </c>
      <c r="DT12" s="75" t="s">
        <v>252</v>
      </c>
      <c r="DU12" s="75"/>
      <c r="DV12" s="75" t="s">
        <v>252</v>
      </c>
      <c r="DW12" s="75" t="s">
        <v>252</v>
      </c>
      <c r="DX12" s="75" t="s">
        <v>252</v>
      </c>
      <c r="DY12" s="75" t="s">
        <v>252</v>
      </c>
      <c r="DZ12" s="75" t="s">
        <v>252</v>
      </c>
      <c r="EA12" s="75" t="s">
        <v>252</v>
      </c>
      <c r="EB12" s="75" t="s">
        <v>252</v>
      </c>
      <c r="EC12" s="75" t="s">
        <v>252</v>
      </c>
      <c r="ED12" s="75" t="s">
        <v>252</v>
      </c>
      <c r="EE12" s="75"/>
      <c r="EF12" s="75" t="s">
        <v>252</v>
      </c>
      <c r="EG12" s="75" t="s">
        <v>252</v>
      </c>
      <c r="EH12" s="75" t="s">
        <v>252</v>
      </c>
      <c r="EI12" s="75" t="s">
        <v>252</v>
      </c>
      <c r="EJ12" s="75" t="s">
        <v>252</v>
      </c>
      <c r="EK12" s="75"/>
      <c r="EL12" s="75" t="s">
        <v>252</v>
      </c>
      <c r="EM12" s="75" t="s">
        <v>252</v>
      </c>
      <c r="EN12" s="75" t="s">
        <v>252</v>
      </c>
      <c r="EO12" s="75" t="s">
        <v>252</v>
      </c>
      <c r="EP12" s="75" t="s">
        <v>252</v>
      </c>
      <c r="EQ12" s="75"/>
      <c r="ER12" s="75" t="s">
        <v>252</v>
      </c>
      <c r="ES12" s="75" t="s">
        <v>252</v>
      </c>
      <c r="ET12" s="75" t="s">
        <v>252</v>
      </c>
      <c r="EU12" s="75" t="s">
        <v>252</v>
      </c>
      <c r="EV12" s="75" t="s">
        <v>252</v>
      </c>
      <c r="EW12" s="75" t="s">
        <v>252</v>
      </c>
      <c r="EX12" s="75" t="s">
        <v>252</v>
      </c>
      <c r="EY12" s="75"/>
      <c r="EZ12" s="75" t="s">
        <v>252</v>
      </c>
      <c r="FA12" s="75" t="s">
        <v>252</v>
      </c>
      <c r="FB12" s="75" t="s">
        <v>252</v>
      </c>
      <c r="FC12" s="75" t="s">
        <v>252</v>
      </c>
      <c r="FD12" s="75" t="s">
        <v>252</v>
      </c>
      <c r="FE12" s="75" t="s">
        <v>252</v>
      </c>
      <c r="FF12" s="75"/>
      <c r="FG12" s="75" t="s">
        <v>252</v>
      </c>
      <c r="FH12" s="81" t="s">
        <v>252</v>
      </c>
      <c r="FI12" s="75" t="s">
        <v>252</v>
      </c>
      <c r="FJ12" s="75" t="s">
        <v>252</v>
      </c>
      <c r="FK12" s="75" t="s">
        <v>252</v>
      </c>
      <c r="FL12" s="75"/>
      <c r="FM12" s="75" t="s">
        <v>252</v>
      </c>
      <c r="FN12" s="75" t="s">
        <v>252</v>
      </c>
      <c r="FO12" s="75" t="s">
        <v>252</v>
      </c>
      <c r="FP12" s="75" t="s">
        <v>252</v>
      </c>
      <c r="FQ12" s="75" t="s">
        <v>252</v>
      </c>
      <c r="FR12" s="75"/>
      <c r="FS12" s="75" t="s">
        <v>252</v>
      </c>
      <c r="FT12" s="75" t="s">
        <v>252</v>
      </c>
      <c r="FU12" s="75" t="s">
        <v>252</v>
      </c>
      <c r="FV12" s="75" t="s">
        <v>252</v>
      </c>
      <c r="FW12" s="75" t="s">
        <v>252</v>
      </c>
      <c r="FX12" s="75" t="s">
        <v>252</v>
      </c>
      <c r="FY12" s="75"/>
      <c r="FZ12" s="75" t="s">
        <v>252</v>
      </c>
      <c r="GA12" s="81" t="s">
        <v>226</v>
      </c>
      <c r="GB12" s="75" t="s">
        <v>252</v>
      </c>
      <c r="GC12" s="75" t="s">
        <v>252</v>
      </c>
      <c r="GD12" s="75" t="s">
        <v>252</v>
      </c>
      <c r="GE12" s="75" t="s">
        <v>252</v>
      </c>
      <c r="GF12" s="75" t="s">
        <v>252</v>
      </c>
      <c r="GG12" s="75"/>
      <c r="GH12" s="75" t="s">
        <v>252</v>
      </c>
      <c r="GI12" s="81" t="s">
        <v>252</v>
      </c>
      <c r="GJ12" s="75" t="s">
        <v>252</v>
      </c>
      <c r="GK12" s="75" t="s">
        <v>252</v>
      </c>
      <c r="GL12" s="75" t="s">
        <v>252</v>
      </c>
      <c r="GM12" s="75"/>
      <c r="GN12" s="81" t="s">
        <v>117</v>
      </c>
      <c r="GO12" s="75" t="s">
        <v>252</v>
      </c>
      <c r="GP12" s="75" t="s">
        <v>252</v>
      </c>
      <c r="GQ12" s="81" t="s">
        <v>117</v>
      </c>
      <c r="GR12" s="81"/>
      <c r="GS12" s="75" t="s">
        <v>252</v>
      </c>
      <c r="GT12" s="75" t="s">
        <v>252</v>
      </c>
      <c r="GU12" s="75" t="s">
        <v>252</v>
      </c>
      <c r="GV12" s="75" t="s">
        <v>252</v>
      </c>
      <c r="GW12" s="75" t="s">
        <v>252</v>
      </c>
      <c r="GX12" s="75" t="s">
        <v>252</v>
      </c>
      <c r="GY12" s="75" t="s">
        <v>252</v>
      </c>
      <c r="GZ12" s="75" t="s">
        <v>252</v>
      </c>
      <c r="HA12" s="75" t="s">
        <v>252</v>
      </c>
      <c r="HB12" s="75" t="s">
        <v>252</v>
      </c>
      <c r="HC12" s="75" t="s">
        <v>252</v>
      </c>
      <c r="HD12" s="75" t="s">
        <v>252</v>
      </c>
      <c r="HE12" s="75"/>
      <c r="HF12" s="75" t="s">
        <v>252</v>
      </c>
      <c r="HG12" s="75" t="s">
        <v>252</v>
      </c>
      <c r="HH12" s="75" t="s">
        <v>252</v>
      </c>
      <c r="HI12" s="75" t="s">
        <v>252</v>
      </c>
      <c r="HJ12" s="75" t="s">
        <v>252</v>
      </c>
      <c r="HK12" s="75" t="s">
        <v>252</v>
      </c>
      <c r="HL12" s="75" t="s">
        <v>252</v>
      </c>
      <c r="HM12" s="75"/>
      <c r="HN12" s="75" t="s">
        <v>252</v>
      </c>
      <c r="HO12" s="75" t="s">
        <v>252</v>
      </c>
      <c r="HP12" s="75" t="s">
        <v>252</v>
      </c>
      <c r="HQ12" s="75" t="s">
        <v>252</v>
      </c>
      <c r="HR12" s="75" t="s">
        <v>252</v>
      </c>
      <c r="HS12" s="75" t="s">
        <v>252</v>
      </c>
      <c r="HT12" s="75"/>
      <c r="HU12" s="75" t="s">
        <v>252</v>
      </c>
      <c r="HV12" s="75" t="s">
        <v>252</v>
      </c>
      <c r="HW12" s="75" t="s">
        <v>252</v>
      </c>
      <c r="HX12" s="75" t="s">
        <v>252</v>
      </c>
      <c r="HY12" s="75" t="s">
        <v>252</v>
      </c>
      <c r="HZ12" s="75" t="s">
        <v>252</v>
      </c>
      <c r="IA12" s="75"/>
      <c r="IB12" s="75" t="s">
        <v>252</v>
      </c>
      <c r="IC12" s="81" t="s">
        <v>252</v>
      </c>
      <c r="ID12" s="81" t="s">
        <v>252</v>
      </c>
      <c r="IE12" s="81" t="s">
        <v>252</v>
      </c>
      <c r="IF12" s="75" t="s">
        <v>252</v>
      </c>
      <c r="IG12" s="75" t="s">
        <v>252</v>
      </c>
      <c r="IH12" s="75"/>
      <c r="II12" s="75" t="s">
        <v>252</v>
      </c>
      <c r="IJ12" s="75" t="s">
        <v>252</v>
      </c>
      <c r="IK12" s="75" t="s">
        <v>252</v>
      </c>
      <c r="IL12" s="75" t="s">
        <v>252</v>
      </c>
      <c r="IM12" s="75" t="s">
        <v>252</v>
      </c>
      <c r="IN12" s="75"/>
      <c r="IO12" s="81" t="s">
        <v>117</v>
      </c>
      <c r="IP12" s="75" t="s">
        <v>68</v>
      </c>
      <c r="IQ12" s="81" t="s">
        <v>117</v>
      </c>
      <c r="IR12" s="81" t="s">
        <v>117</v>
      </c>
      <c r="IS12" s="75" t="s">
        <v>252</v>
      </c>
      <c r="IT12" s="75" t="s">
        <v>252</v>
      </c>
      <c r="IU12" s="81" t="s">
        <v>117</v>
      </c>
      <c r="IV12" s="81"/>
      <c r="IW12" s="75" t="s">
        <v>252</v>
      </c>
      <c r="IX12" s="75" t="s">
        <v>68</v>
      </c>
      <c r="IY12" s="75" t="s">
        <v>252</v>
      </c>
      <c r="IZ12" s="75" t="s">
        <v>252</v>
      </c>
      <c r="JA12" s="75" t="s">
        <v>252</v>
      </c>
      <c r="JB12" s="81"/>
      <c r="JC12" s="75" t="s">
        <v>252</v>
      </c>
      <c r="JD12" s="81" t="s">
        <v>242</v>
      </c>
      <c r="JE12" s="75" t="s">
        <v>252</v>
      </c>
      <c r="JF12" s="81" t="s">
        <v>252</v>
      </c>
      <c r="JG12" s="81" t="s">
        <v>252</v>
      </c>
      <c r="JH12" s="81" t="s">
        <v>252</v>
      </c>
      <c r="JI12" s="81" t="s">
        <v>252</v>
      </c>
      <c r="JJ12" s="75" t="s">
        <v>252</v>
      </c>
      <c r="JK12" s="75" t="s">
        <v>252</v>
      </c>
      <c r="JL12" s="75"/>
      <c r="JM12" s="75" t="s">
        <v>252</v>
      </c>
      <c r="JN12" s="75" t="s">
        <v>252</v>
      </c>
      <c r="JO12" s="75" t="s">
        <v>252</v>
      </c>
      <c r="JP12" s="75"/>
      <c r="JQ12" s="75" t="s">
        <v>252</v>
      </c>
      <c r="JR12" s="75" t="s">
        <v>252</v>
      </c>
      <c r="JS12" s="75" t="s">
        <v>252</v>
      </c>
      <c r="JT12" s="75" t="s">
        <v>252</v>
      </c>
      <c r="JU12" s="75" t="s">
        <v>252</v>
      </c>
      <c r="JV12" s="75" t="s">
        <v>252</v>
      </c>
    </row>
    <row r="13" spans="1:282" x14ac:dyDescent="0.15">
      <c r="A13" s="214" t="s">
        <v>49</v>
      </c>
      <c r="B13" s="6" t="s">
        <v>484</v>
      </c>
      <c r="C13" s="6">
        <v>115000</v>
      </c>
      <c r="D13" s="6">
        <v>1</v>
      </c>
      <c r="E13" s="6">
        <v>4</v>
      </c>
      <c r="F13" s="6">
        <v>5</v>
      </c>
      <c r="G13" s="6" t="s">
        <v>40</v>
      </c>
      <c r="H13" s="6" t="s">
        <v>40</v>
      </c>
      <c r="I13" s="6" t="s">
        <v>41</v>
      </c>
      <c r="J13" s="22" t="s">
        <v>50</v>
      </c>
      <c r="K13" s="21">
        <v>2</v>
      </c>
      <c r="L13" s="21">
        <v>2</v>
      </c>
      <c r="M13" s="21">
        <v>1</v>
      </c>
      <c r="N13" s="21">
        <v>0</v>
      </c>
      <c r="O13" s="21">
        <v>1</v>
      </c>
      <c r="P13" s="21" t="str">
        <f>IF(TeamT[[#This Row],[General]]+TeamT[[#This Row],[Agility]]+TeamT[[#This Row],[Strength]]+TeamT[[#This Row],[Passing]]+TeamT[[#This Row],[Mutation]]&gt;0,IF(TeamT[[#This Row],[General]]=1,"G","")&amp;IF(TeamT[[#This Row],[Agility]]=1,"A","")&amp;IF(TeamT[[#This Row],[Strength]]=1,"S","")&amp;IF(TeamT[[#This Row],[Passing]]=1,"P","")&amp;IF(TeamT[[#This Row],[Mutation]]=1,"M",""),"Star")</f>
        <v>SM</v>
      </c>
      <c r="Q13" s="21" t="str">
        <f>IF(TeamT[[#This Row],[General]]=2,"G","")&amp;IF(TeamT[[#This Row],[Agility]]=2,"A","")&amp;IF(TeamT[[#This Row],[Strength]]=2,"S","")&amp;IF(TeamT[[#This Row],[Passing]]=2,"P","")&amp;IF(TeamT[[#This Row],[Mutation]]=2,"M","")</f>
        <v>GA</v>
      </c>
      <c r="R13" s="212"/>
      <c r="S13" s="21">
        <v>5</v>
      </c>
      <c r="T13" s="21">
        <v>5</v>
      </c>
      <c r="U13" s="21">
        <v>10</v>
      </c>
      <c r="AA13" s="76" t="e">
        <f>HLOOKUP(Roster!$E$5,Team!$BL$2:$MK$128,12,FALSE)</f>
        <v>#N/A</v>
      </c>
      <c r="AB13" s="76" t="e">
        <f>HLOOKUP(Roster!$E$6,Team!$BL$2:$MK$128,12,FALSE)</f>
        <v>#N/A</v>
      </c>
      <c r="AC13" s="76" t="e">
        <f>HLOOKUP(Roster!$E$7,Team!$BL$2:$MK$128,12,FALSE)</f>
        <v>#N/A</v>
      </c>
      <c r="AD13" s="76" t="e">
        <f>HLOOKUP(Roster!$E$8,Team!$BL$2:$MK$128,12,FALSE)</f>
        <v>#N/A</v>
      </c>
      <c r="AE13" s="76" t="e">
        <f>HLOOKUP(Roster!$E$9,Team!$BL$2:$MK$128,12,FALSE)</f>
        <v>#N/A</v>
      </c>
      <c r="AF13" s="76" t="e">
        <f>HLOOKUP(Roster!$E$10,Team!$BL$2:$MK$128,12,FALSE)</f>
        <v>#N/A</v>
      </c>
      <c r="AG13" s="76" t="e">
        <f>HLOOKUP(Roster!$E$11,Team!$BL$2:$MK$128,12,FALSE)</f>
        <v>#N/A</v>
      </c>
      <c r="AH13" s="76" t="e">
        <f>HLOOKUP(Roster!$E$12,Team!$BL$2:$MK$128,12,FALSE)</f>
        <v>#N/A</v>
      </c>
      <c r="AI13" s="76" t="e">
        <f>HLOOKUP(Roster!$E$13,Team!$BL$2:$MK$128,12,FALSE)</f>
        <v>#N/A</v>
      </c>
      <c r="AJ13" s="76" t="e">
        <f>HLOOKUP(Roster!$E$14,Team!$BL$2:$MK$128,12,FALSE)</f>
        <v>#N/A</v>
      </c>
      <c r="AK13" s="76" t="e">
        <f>HLOOKUP(Roster!$E$15,Team!$BL$2:$MK$128,12,FALSE)</f>
        <v>#N/A</v>
      </c>
      <c r="AL13" s="76" t="e">
        <f>HLOOKUP(Roster!$E$16,Team!$BL$2:$MK$128,12,FALSE)</f>
        <v>#N/A</v>
      </c>
      <c r="AM13" s="76" t="e">
        <f>HLOOKUP(Roster!$E$17,Team!$BL$2:$MK$128,12,FALSE)</f>
        <v>#N/A</v>
      </c>
      <c r="AN13" s="76" t="e">
        <f>HLOOKUP(Roster!$E$18,Team!$BL$2:$MK$128,12,FALSE)</f>
        <v>#N/A</v>
      </c>
      <c r="AO13" s="76" t="e">
        <f>HLOOKUP(Roster!$E$19,Team!$BL$2:$MK$128,12,FALSE)</f>
        <v>#N/A</v>
      </c>
      <c r="AP13" s="76" t="e">
        <f>HLOOKUP(Roster!$E$20,Team!$BL$2:$MK$128,12,FALSE)</f>
        <v>#N/A</v>
      </c>
      <c r="AR13" s="108">
        <f t="shared" si="1"/>
        <v>0</v>
      </c>
      <c r="AS13" s="108">
        <f t="shared" si="2"/>
        <v>0</v>
      </c>
      <c r="AT13" s="108">
        <f t="shared" si="3"/>
        <v>0</v>
      </c>
      <c r="AU13" s="108">
        <f t="shared" si="4"/>
        <v>0</v>
      </c>
      <c r="AV13" s="108">
        <f t="shared" si="5"/>
        <v>0</v>
      </c>
      <c r="AW13" s="108">
        <f t="shared" si="6"/>
        <v>0</v>
      </c>
      <c r="AX13" s="108">
        <f t="shared" si="7"/>
        <v>0</v>
      </c>
      <c r="AY13" s="108">
        <f t="shared" si="8"/>
        <v>0</v>
      </c>
      <c r="AZ13" s="108">
        <f t="shared" si="9"/>
        <v>0</v>
      </c>
      <c r="BA13" s="108">
        <f t="shared" si="10"/>
        <v>0</v>
      </c>
      <c r="BB13" s="108">
        <f t="shared" si="11"/>
        <v>0</v>
      </c>
      <c r="BC13" s="108">
        <f t="shared" si="12"/>
        <v>0</v>
      </c>
      <c r="BD13" s="108">
        <f t="shared" si="13"/>
        <v>0</v>
      </c>
      <c r="BE13" s="108">
        <f t="shared" si="14"/>
        <v>0</v>
      </c>
      <c r="BF13" s="108">
        <f t="shared" si="15"/>
        <v>0</v>
      </c>
      <c r="BG13" s="108">
        <f t="shared" si="16"/>
        <v>0</v>
      </c>
      <c r="BL13" s="75" t="s">
        <v>253</v>
      </c>
      <c r="BM13" s="75" t="s">
        <v>253</v>
      </c>
      <c r="BN13" s="75" t="s">
        <v>253</v>
      </c>
      <c r="BO13" s="75" t="s">
        <v>253</v>
      </c>
      <c r="BP13" s="75" t="s">
        <v>253</v>
      </c>
      <c r="BQ13" s="75"/>
      <c r="BR13" s="75" t="s">
        <v>253</v>
      </c>
      <c r="BS13" s="75" t="s">
        <v>253</v>
      </c>
      <c r="BT13" s="75" t="s">
        <v>253</v>
      </c>
      <c r="BU13" s="75" t="s">
        <v>253</v>
      </c>
      <c r="BV13" s="75"/>
      <c r="BW13" s="81" t="s">
        <v>253</v>
      </c>
      <c r="BX13" s="75" t="s">
        <v>253</v>
      </c>
      <c r="BY13" s="75" t="s">
        <v>253</v>
      </c>
      <c r="BZ13" s="75" t="s">
        <v>253</v>
      </c>
      <c r="CA13" s="75" t="s">
        <v>253</v>
      </c>
      <c r="CB13" s="81" t="s">
        <v>253</v>
      </c>
      <c r="CC13" s="77"/>
      <c r="CD13" s="75" t="s">
        <v>253</v>
      </c>
      <c r="CE13" s="75" t="s">
        <v>253</v>
      </c>
      <c r="CF13" s="75" t="s">
        <v>253</v>
      </c>
      <c r="CG13" s="75" t="s">
        <v>253</v>
      </c>
      <c r="CH13" s="75" t="s">
        <v>253</v>
      </c>
      <c r="CI13" s="77"/>
      <c r="CJ13" s="75" t="s">
        <v>253</v>
      </c>
      <c r="CK13" s="81" t="s">
        <v>253</v>
      </c>
      <c r="CL13" s="81" t="s">
        <v>270</v>
      </c>
      <c r="CM13" s="75" t="s">
        <v>253</v>
      </c>
      <c r="CN13" s="75" t="s">
        <v>253</v>
      </c>
      <c r="CO13" s="81" t="s">
        <v>253</v>
      </c>
      <c r="CP13" s="75" t="s">
        <v>253</v>
      </c>
      <c r="CQ13" s="75" t="s">
        <v>253</v>
      </c>
      <c r="CR13" s="75" t="s">
        <v>253</v>
      </c>
      <c r="CS13" s="75" t="s">
        <v>253</v>
      </c>
      <c r="CT13" s="75" t="s">
        <v>253</v>
      </c>
      <c r="CU13" s="75"/>
      <c r="CV13" s="75" t="s">
        <v>253</v>
      </c>
      <c r="CW13" s="75" t="s">
        <v>253</v>
      </c>
      <c r="CX13" s="75" t="s">
        <v>253</v>
      </c>
      <c r="CY13" s="75" t="s">
        <v>253</v>
      </c>
      <c r="CZ13" s="75" t="s">
        <v>253</v>
      </c>
      <c r="DA13" s="75"/>
      <c r="DB13" s="75" t="s">
        <v>253</v>
      </c>
      <c r="DC13" s="75" t="s">
        <v>253</v>
      </c>
      <c r="DD13" s="75" t="s">
        <v>253</v>
      </c>
      <c r="DE13" s="75" t="s">
        <v>253</v>
      </c>
      <c r="DF13" s="75" t="s">
        <v>253</v>
      </c>
      <c r="DG13" s="75" t="s">
        <v>253</v>
      </c>
      <c r="DH13" s="75"/>
      <c r="DI13" s="75" t="s">
        <v>253</v>
      </c>
      <c r="DJ13" s="75" t="s">
        <v>253</v>
      </c>
      <c r="DK13" s="75" t="s">
        <v>253</v>
      </c>
      <c r="DL13" s="75" t="s">
        <v>253</v>
      </c>
      <c r="DM13" s="75" t="s">
        <v>253</v>
      </c>
      <c r="DN13" s="75" t="s">
        <v>253</v>
      </c>
      <c r="DO13" s="75"/>
      <c r="DP13" s="75" t="s">
        <v>253</v>
      </c>
      <c r="DQ13" s="75" t="s">
        <v>253</v>
      </c>
      <c r="DR13" s="75" t="s">
        <v>253</v>
      </c>
      <c r="DS13" s="75" t="s">
        <v>253</v>
      </c>
      <c r="DT13" s="75" t="s">
        <v>253</v>
      </c>
      <c r="DU13" s="75"/>
      <c r="DV13" s="75" t="s">
        <v>253</v>
      </c>
      <c r="DW13" s="75" t="s">
        <v>253</v>
      </c>
      <c r="DX13" s="75" t="s">
        <v>253</v>
      </c>
      <c r="DY13" s="75" t="s">
        <v>253</v>
      </c>
      <c r="DZ13" s="75" t="s">
        <v>253</v>
      </c>
      <c r="EA13" s="75" t="s">
        <v>253</v>
      </c>
      <c r="EB13" s="75" t="s">
        <v>253</v>
      </c>
      <c r="EC13" s="75" t="s">
        <v>253</v>
      </c>
      <c r="ED13" s="75" t="s">
        <v>253</v>
      </c>
      <c r="EE13" s="75"/>
      <c r="EF13" s="75" t="s">
        <v>253</v>
      </c>
      <c r="EG13" s="75" t="s">
        <v>253</v>
      </c>
      <c r="EH13" s="75" t="s">
        <v>253</v>
      </c>
      <c r="EI13" s="75" t="s">
        <v>253</v>
      </c>
      <c r="EJ13" s="75" t="s">
        <v>253</v>
      </c>
      <c r="EK13" s="75"/>
      <c r="EL13" s="75" t="s">
        <v>253</v>
      </c>
      <c r="EM13" s="75" t="s">
        <v>253</v>
      </c>
      <c r="EN13" s="75" t="s">
        <v>253</v>
      </c>
      <c r="EO13" s="75" t="s">
        <v>253</v>
      </c>
      <c r="EP13" s="75" t="s">
        <v>253</v>
      </c>
      <c r="EQ13" s="75"/>
      <c r="ER13" s="75" t="s">
        <v>253</v>
      </c>
      <c r="ES13" s="75" t="s">
        <v>253</v>
      </c>
      <c r="ET13" s="75" t="s">
        <v>253</v>
      </c>
      <c r="EU13" s="75" t="s">
        <v>253</v>
      </c>
      <c r="EV13" s="75" t="s">
        <v>253</v>
      </c>
      <c r="EW13" s="75" t="s">
        <v>253</v>
      </c>
      <c r="EX13" s="75" t="s">
        <v>253</v>
      </c>
      <c r="EY13" s="75"/>
      <c r="EZ13" s="75" t="s">
        <v>253</v>
      </c>
      <c r="FA13" s="75" t="s">
        <v>253</v>
      </c>
      <c r="FB13" s="75" t="s">
        <v>253</v>
      </c>
      <c r="FC13" s="75" t="s">
        <v>253</v>
      </c>
      <c r="FD13" s="75" t="s">
        <v>253</v>
      </c>
      <c r="FE13" s="75" t="s">
        <v>253</v>
      </c>
      <c r="FF13" s="75"/>
      <c r="FG13" s="75" t="s">
        <v>253</v>
      </c>
      <c r="FH13" s="81" t="s">
        <v>253</v>
      </c>
      <c r="FI13" s="75" t="s">
        <v>253</v>
      </c>
      <c r="FJ13" s="75" t="s">
        <v>253</v>
      </c>
      <c r="FK13" s="75" t="s">
        <v>253</v>
      </c>
      <c r="FL13" s="75"/>
      <c r="FM13" s="75" t="s">
        <v>253</v>
      </c>
      <c r="FN13" s="75" t="s">
        <v>253</v>
      </c>
      <c r="FO13" s="75" t="s">
        <v>253</v>
      </c>
      <c r="FP13" s="75" t="s">
        <v>253</v>
      </c>
      <c r="FQ13" s="75" t="s">
        <v>253</v>
      </c>
      <c r="FR13" s="75"/>
      <c r="FS13" s="75" t="s">
        <v>253</v>
      </c>
      <c r="FT13" s="75" t="s">
        <v>253</v>
      </c>
      <c r="FU13" s="75" t="s">
        <v>253</v>
      </c>
      <c r="FV13" s="75" t="s">
        <v>253</v>
      </c>
      <c r="FW13" s="75" t="s">
        <v>253</v>
      </c>
      <c r="FX13" s="75" t="s">
        <v>253</v>
      </c>
      <c r="FY13" s="75"/>
      <c r="FZ13" s="75" t="s">
        <v>253</v>
      </c>
      <c r="GA13" s="81" t="s">
        <v>134</v>
      </c>
      <c r="GB13" s="75" t="s">
        <v>253</v>
      </c>
      <c r="GC13" s="75" t="s">
        <v>253</v>
      </c>
      <c r="GD13" s="75" t="s">
        <v>253</v>
      </c>
      <c r="GE13" s="75" t="s">
        <v>253</v>
      </c>
      <c r="GF13" s="75" t="s">
        <v>253</v>
      </c>
      <c r="GG13" s="75"/>
      <c r="GH13" s="75" t="s">
        <v>253</v>
      </c>
      <c r="GI13" s="81" t="s">
        <v>253</v>
      </c>
      <c r="GJ13" s="75" t="s">
        <v>253</v>
      </c>
      <c r="GK13" s="75" t="s">
        <v>253</v>
      </c>
      <c r="GL13" s="75" t="s">
        <v>253</v>
      </c>
      <c r="GM13" s="75"/>
      <c r="GN13" s="81" t="s">
        <v>263</v>
      </c>
      <c r="GO13" s="75" t="s">
        <v>253</v>
      </c>
      <c r="GP13" s="75" t="s">
        <v>253</v>
      </c>
      <c r="GQ13" s="81" t="s">
        <v>263</v>
      </c>
      <c r="GR13" s="81"/>
      <c r="GS13" s="75" t="s">
        <v>253</v>
      </c>
      <c r="GT13" s="75" t="s">
        <v>253</v>
      </c>
      <c r="GU13" s="75" t="s">
        <v>253</v>
      </c>
      <c r="GV13" s="75" t="s">
        <v>253</v>
      </c>
      <c r="GW13" s="75" t="s">
        <v>253</v>
      </c>
      <c r="GX13" s="75" t="s">
        <v>253</v>
      </c>
      <c r="GY13" s="75" t="s">
        <v>253</v>
      </c>
      <c r="GZ13" s="75" t="s">
        <v>253</v>
      </c>
      <c r="HA13" s="75" t="s">
        <v>253</v>
      </c>
      <c r="HB13" s="75" t="s">
        <v>253</v>
      </c>
      <c r="HC13" s="75" t="s">
        <v>253</v>
      </c>
      <c r="HD13" s="75" t="s">
        <v>253</v>
      </c>
      <c r="HE13" s="75"/>
      <c r="HF13" s="75" t="s">
        <v>253</v>
      </c>
      <c r="HG13" s="75" t="s">
        <v>253</v>
      </c>
      <c r="HH13" s="75" t="s">
        <v>253</v>
      </c>
      <c r="HI13" s="75" t="s">
        <v>253</v>
      </c>
      <c r="HJ13" s="75" t="s">
        <v>253</v>
      </c>
      <c r="HK13" s="75" t="s">
        <v>253</v>
      </c>
      <c r="HL13" s="75" t="s">
        <v>253</v>
      </c>
      <c r="HM13" s="75"/>
      <c r="HN13" s="75" t="s">
        <v>253</v>
      </c>
      <c r="HO13" s="75" t="s">
        <v>253</v>
      </c>
      <c r="HP13" s="75" t="s">
        <v>253</v>
      </c>
      <c r="HQ13" s="75" t="s">
        <v>253</v>
      </c>
      <c r="HR13" s="75" t="s">
        <v>253</v>
      </c>
      <c r="HS13" s="75" t="s">
        <v>253</v>
      </c>
      <c r="HT13" s="75"/>
      <c r="HU13" s="75" t="s">
        <v>253</v>
      </c>
      <c r="HV13" s="75" t="s">
        <v>253</v>
      </c>
      <c r="HW13" s="75" t="s">
        <v>253</v>
      </c>
      <c r="HX13" s="75" t="s">
        <v>253</v>
      </c>
      <c r="HY13" s="75" t="s">
        <v>253</v>
      </c>
      <c r="HZ13" s="75" t="s">
        <v>253</v>
      </c>
      <c r="IA13" s="75"/>
      <c r="IB13" s="75" t="s">
        <v>253</v>
      </c>
      <c r="IC13" s="81" t="s">
        <v>253</v>
      </c>
      <c r="ID13" s="81" t="s">
        <v>253</v>
      </c>
      <c r="IE13" s="81" t="s">
        <v>253</v>
      </c>
      <c r="IF13" s="75" t="s">
        <v>253</v>
      </c>
      <c r="IG13" s="75" t="s">
        <v>253</v>
      </c>
      <c r="IH13" s="75"/>
      <c r="II13" s="75" t="s">
        <v>253</v>
      </c>
      <c r="IJ13" s="75" t="s">
        <v>253</v>
      </c>
      <c r="IK13" s="75" t="s">
        <v>253</v>
      </c>
      <c r="IL13" s="75" t="s">
        <v>253</v>
      </c>
      <c r="IM13" s="75" t="s">
        <v>253</v>
      </c>
      <c r="IN13" s="75"/>
      <c r="IO13" s="81" t="s">
        <v>263</v>
      </c>
      <c r="IP13" s="75" t="s">
        <v>270</v>
      </c>
      <c r="IQ13" s="81" t="s">
        <v>263</v>
      </c>
      <c r="IR13" s="81" t="s">
        <v>263</v>
      </c>
      <c r="IS13" s="75" t="s">
        <v>253</v>
      </c>
      <c r="IT13" s="75" t="s">
        <v>253</v>
      </c>
      <c r="IU13" s="81" t="s">
        <v>263</v>
      </c>
      <c r="IV13" s="81"/>
      <c r="IW13" s="75" t="s">
        <v>253</v>
      </c>
      <c r="IX13" s="75" t="s">
        <v>270</v>
      </c>
      <c r="IY13" s="75" t="s">
        <v>253</v>
      </c>
      <c r="IZ13" s="75" t="s">
        <v>253</v>
      </c>
      <c r="JA13" s="75" t="s">
        <v>253</v>
      </c>
      <c r="JB13" s="81"/>
      <c r="JC13" s="75" t="s">
        <v>253</v>
      </c>
      <c r="JD13" s="81" t="s">
        <v>265</v>
      </c>
      <c r="JE13" s="75" t="s">
        <v>253</v>
      </c>
      <c r="JF13" s="81" t="s">
        <v>253</v>
      </c>
      <c r="JG13" s="81" t="s">
        <v>253</v>
      </c>
      <c r="JH13" s="81" t="s">
        <v>253</v>
      </c>
      <c r="JI13" s="81" t="s">
        <v>253</v>
      </c>
      <c r="JJ13" s="75" t="s">
        <v>253</v>
      </c>
      <c r="JK13" s="75" t="s">
        <v>253</v>
      </c>
      <c r="JL13" s="75"/>
      <c r="JM13" s="75" t="s">
        <v>253</v>
      </c>
      <c r="JN13" s="75" t="s">
        <v>253</v>
      </c>
      <c r="JO13" s="75" t="s">
        <v>253</v>
      </c>
      <c r="JP13" s="75"/>
      <c r="JQ13" s="75" t="s">
        <v>253</v>
      </c>
      <c r="JR13" s="75" t="s">
        <v>253</v>
      </c>
      <c r="JS13" s="75" t="s">
        <v>253</v>
      </c>
      <c r="JT13" s="75" t="s">
        <v>253</v>
      </c>
      <c r="JU13" s="75" t="s">
        <v>253</v>
      </c>
      <c r="JV13" s="75" t="s">
        <v>253</v>
      </c>
    </row>
    <row r="14" spans="1:282" x14ac:dyDescent="0.15">
      <c r="A14" s="214" t="s">
        <v>51</v>
      </c>
      <c r="B14" s="6" t="s">
        <v>484</v>
      </c>
      <c r="C14" s="6">
        <v>140000</v>
      </c>
      <c r="D14" s="6">
        <v>1</v>
      </c>
      <c r="E14" s="6">
        <v>5</v>
      </c>
      <c r="F14" s="6">
        <v>5</v>
      </c>
      <c r="G14" s="6" t="s">
        <v>37</v>
      </c>
      <c r="H14" s="6" t="s">
        <v>40</v>
      </c>
      <c r="I14" s="6" t="s">
        <v>41</v>
      </c>
      <c r="J14" s="21" t="s">
        <v>52</v>
      </c>
      <c r="K14" s="21">
        <v>2</v>
      </c>
      <c r="L14" s="21">
        <v>2</v>
      </c>
      <c r="M14" s="21">
        <v>1</v>
      </c>
      <c r="N14" s="21">
        <v>0</v>
      </c>
      <c r="O14" s="21">
        <v>1</v>
      </c>
      <c r="P14" s="21" t="str">
        <f>IF(TeamT[[#This Row],[General]]+TeamT[[#This Row],[Agility]]+TeamT[[#This Row],[Strength]]+TeamT[[#This Row],[Passing]]+TeamT[[#This Row],[Mutation]]&gt;0,IF(TeamT[[#This Row],[General]]=1,"G","")&amp;IF(TeamT[[#This Row],[Agility]]=1,"A","")&amp;IF(TeamT[[#This Row],[Strength]]=1,"S","")&amp;IF(TeamT[[#This Row],[Passing]]=1,"P","")&amp;IF(TeamT[[#This Row],[Mutation]]=1,"M",""),"Star")</f>
        <v>SM</v>
      </c>
      <c r="Q14" s="21" t="str">
        <f>IF(TeamT[[#This Row],[General]]=2,"G","")&amp;IF(TeamT[[#This Row],[Agility]]=2,"A","")&amp;IF(TeamT[[#This Row],[Strength]]=2,"S","")&amp;IF(TeamT[[#This Row],[Passing]]=2,"P","")&amp;IF(TeamT[[#This Row],[Mutation]]=2,"M","")</f>
        <v>GA</v>
      </c>
      <c r="R14" s="212"/>
      <c r="S14" s="21">
        <v>4</v>
      </c>
      <c r="T14" s="21">
        <v>5</v>
      </c>
      <c r="U14" s="21">
        <v>10</v>
      </c>
      <c r="AA14" s="76" t="e">
        <f>HLOOKUP(Roster!$E$5,Team!$BL$2:$MK$128,13,FALSE)</f>
        <v>#N/A</v>
      </c>
      <c r="AB14" s="76" t="e">
        <f>HLOOKUP(Roster!$E$6,Team!$BL$2:$MK$128,13,FALSE)</f>
        <v>#N/A</v>
      </c>
      <c r="AC14" s="76" t="e">
        <f>HLOOKUP(Roster!$E$7,Team!$BL$2:$MK$128,13,FALSE)</f>
        <v>#N/A</v>
      </c>
      <c r="AD14" s="76" t="e">
        <f>HLOOKUP(Roster!$E$8,Team!$BL$2:$MK$128,13,FALSE)</f>
        <v>#N/A</v>
      </c>
      <c r="AE14" s="76" t="e">
        <f>HLOOKUP(Roster!$E$9,Team!$BL$2:$MK$128,13,FALSE)</f>
        <v>#N/A</v>
      </c>
      <c r="AF14" s="76" t="e">
        <f>HLOOKUP(Roster!$E$10,Team!$BL$2:$MK$128,13,FALSE)</f>
        <v>#N/A</v>
      </c>
      <c r="AG14" s="76" t="e">
        <f>HLOOKUP(Roster!$E$11,Team!$BL$2:$MK$128,13,FALSE)</f>
        <v>#N/A</v>
      </c>
      <c r="AH14" s="76" t="e">
        <f>HLOOKUP(Roster!$E$12,Team!$BL$2:$MK$128,13,FALSE)</f>
        <v>#N/A</v>
      </c>
      <c r="AI14" s="76" t="e">
        <f>HLOOKUP(Roster!$E$13,Team!$BL$2:$MK$128,13,FALSE)</f>
        <v>#N/A</v>
      </c>
      <c r="AJ14" s="76" t="e">
        <f>HLOOKUP(Roster!$E$14,Team!$BL$2:$MK$128,13,FALSE)</f>
        <v>#N/A</v>
      </c>
      <c r="AK14" s="76" t="e">
        <f>HLOOKUP(Roster!$E$15,Team!$BL$2:$MK$128,13,FALSE)</f>
        <v>#N/A</v>
      </c>
      <c r="AL14" s="76" t="e">
        <f>HLOOKUP(Roster!$E$16,Team!$BL$2:$MK$128,13,FALSE)</f>
        <v>#N/A</v>
      </c>
      <c r="AM14" s="76" t="e">
        <f>HLOOKUP(Roster!$E$17,Team!$BL$2:$MK$128,13,FALSE)</f>
        <v>#N/A</v>
      </c>
      <c r="AN14" s="76" t="e">
        <f>HLOOKUP(Roster!$E$18,Team!$BL$2:$MK$128,13,FALSE)</f>
        <v>#N/A</v>
      </c>
      <c r="AO14" s="76" t="e">
        <f>HLOOKUP(Roster!$E$19,Team!$BL$2:$MK$128,13,FALSE)</f>
        <v>#N/A</v>
      </c>
      <c r="AP14" s="76" t="e">
        <f>HLOOKUP(Roster!$E$20,Team!$BL$2:$MK$128,13,FALSE)</f>
        <v>#N/A</v>
      </c>
      <c r="AR14" s="108">
        <f t="shared" si="1"/>
        <v>0</v>
      </c>
      <c r="AS14" s="108">
        <f t="shared" si="2"/>
        <v>0</v>
      </c>
      <c r="AT14" s="108">
        <f t="shared" si="3"/>
        <v>0</v>
      </c>
      <c r="AU14" s="108">
        <f t="shared" si="4"/>
        <v>0</v>
      </c>
      <c r="AV14" s="108">
        <f t="shared" si="5"/>
        <v>0</v>
      </c>
      <c r="AW14" s="108">
        <f t="shared" si="6"/>
        <v>0</v>
      </c>
      <c r="AX14" s="108">
        <f t="shared" si="7"/>
        <v>0</v>
      </c>
      <c r="AY14" s="108">
        <f t="shared" si="8"/>
        <v>0</v>
      </c>
      <c r="AZ14" s="108">
        <f t="shared" si="9"/>
        <v>0</v>
      </c>
      <c r="BA14" s="108">
        <f t="shared" si="10"/>
        <v>0</v>
      </c>
      <c r="BB14" s="108">
        <f t="shared" si="11"/>
        <v>0</v>
      </c>
      <c r="BC14" s="108">
        <f t="shared" si="12"/>
        <v>0</v>
      </c>
      <c r="BD14" s="108">
        <f t="shared" si="13"/>
        <v>0</v>
      </c>
      <c r="BE14" s="108">
        <f t="shared" si="14"/>
        <v>0</v>
      </c>
      <c r="BF14" s="108">
        <f t="shared" si="15"/>
        <v>0</v>
      </c>
      <c r="BG14" s="108">
        <f t="shared" si="16"/>
        <v>0</v>
      </c>
      <c r="BL14" s="75" t="s">
        <v>254</v>
      </c>
      <c r="BM14" s="75" t="s">
        <v>254</v>
      </c>
      <c r="BN14" s="75" t="s">
        <v>254</v>
      </c>
      <c r="BO14" s="75" t="s">
        <v>254</v>
      </c>
      <c r="BP14" s="75" t="s">
        <v>254</v>
      </c>
      <c r="BQ14" s="75"/>
      <c r="BR14" s="75" t="s">
        <v>254</v>
      </c>
      <c r="BS14" s="75" t="s">
        <v>254</v>
      </c>
      <c r="BT14" s="75" t="s">
        <v>254</v>
      </c>
      <c r="BU14" s="75" t="s">
        <v>254</v>
      </c>
      <c r="BV14" s="75"/>
      <c r="BW14" s="81" t="s">
        <v>254</v>
      </c>
      <c r="BX14" s="75" t="s">
        <v>254</v>
      </c>
      <c r="BY14" s="75" t="s">
        <v>254</v>
      </c>
      <c r="BZ14" s="75" t="s">
        <v>254</v>
      </c>
      <c r="CA14" s="75" t="s">
        <v>254</v>
      </c>
      <c r="CB14" s="81" t="s">
        <v>254</v>
      </c>
      <c r="CC14" s="77"/>
      <c r="CD14" s="75" t="s">
        <v>254</v>
      </c>
      <c r="CE14" s="75" t="s">
        <v>254</v>
      </c>
      <c r="CF14" s="75" t="s">
        <v>254</v>
      </c>
      <c r="CG14" s="75" t="s">
        <v>254</v>
      </c>
      <c r="CH14" s="75" t="s">
        <v>254</v>
      </c>
      <c r="CI14" s="77"/>
      <c r="CJ14" s="75" t="s">
        <v>254</v>
      </c>
      <c r="CK14" s="81" t="s">
        <v>254</v>
      </c>
      <c r="CL14" s="81" t="s">
        <v>248</v>
      </c>
      <c r="CM14" s="75" t="s">
        <v>254</v>
      </c>
      <c r="CN14" s="75" t="s">
        <v>254</v>
      </c>
      <c r="CO14" s="81" t="s">
        <v>254</v>
      </c>
      <c r="CP14" s="75" t="s">
        <v>254</v>
      </c>
      <c r="CQ14" s="75" t="s">
        <v>254</v>
      </c>
      <c r="CR14" s="75" t="s">
        <v>254</v>
      </c>
      <c r="CS14" s="75" t="s">
        <v>254</v>
      </c>
      <c r="CT14" s="75" t="s">
        <v>254</v>
      </c>
      <c r="CU14" s="75"/>
      <c r="CV14" s="75" t="s">
        <v>254</v>
      </c>
      <c r="CW14" s="75" t="s">
        <v>254</v>
      </c>
      <c r="CX14" s="75" t="s">
        <v>254</v>
      </c>
      <c r="CY14" s="75" t="s">
        <v>254</v>
      </c>
      <c r="CZ14" s="75" t="s">
        <v>254</v>
      </c>
      <c r="DA14" s="75"/>
      <c r="DB14" s="75" t="s">
        <v>254</v>
      </c>
      <c r="DC14" s="75" t="s">
        <v>254</v>
      </c>
      <c r="DD14" s="75" t="s">
        <v>254</v>
      </c>
      <c r="DE14" s="75" t="s">
        <v>254</v>
      </c>
      <c r="DF14" s="75" t="s">
        <v>254</v>
      </c>
      <c r="DG14" s="75" t="s">
        <v>254</v>
      </c>
      <c r="DH14" s="75"/>
      <c r="DI14" s="75" t="s">
        <v>254</v>
      </c>
      <c r="DJ14" s="75" t="s">
        <v>254</v>
      </c>
      <c r="DK14" s="75" t="s">
        <v>254</v>
      </c>
      <c r="DL14" s="75" t="s">
        <v>254</v>
      </c>
      <c r="DM14" s="75" t="s">
        <v>254</v>
      </c>
      <c r="DN14" s="75" t="s">
        <v>254</v>
      </c>
      <c r="DO14" s="75"/>
      <c r="DP14" s="75" t="s">
        <v>254</v>
      </c>
      <c r="DQ14" s="75" t="s">
        <v>254</v>
      </c>
      <c r="DR14" s="75" t="s">
        <v>254</v>
      </c>
      <c r="DS14" s="75" t="s">
        <v>254</v>
      </c>
      <c r="DT14" s="75" t="s">
        <v>254</v>
      </c>
      <c r="DU14" s="75"/>
      <c r="DV14" s="75" t="s">
        <v>254</v>
      </c>
      <c r="DW14" s="75" t="s">
        <v>254</v>
      </c>
      <c r="DX14" s="75" t="s">
        <v>254</v>
      </c>
      <c r="DY14" s="75" t="s">
        <v>254</v>
      </c>
      <c r="DZ14" s="75" t="s">
        <v>254</v>
      </c>
      <c r="EA14" s="75" t="s">
        <v>254</v>
      </c>
      <c r="EB14" s="75" t="s">
        <v>254</v>
      </c>
      <c r="EC14" s="75" t="s">
        <v>254</v>
      </c>
      <c r="ED14" s="75" t="s">
        <v>254</v>
      </c>
      <c r="EE14" s="75"/>
      <c r="EF14" s="75" t="s">
        <v>254</v>
      </c>
      <c r="EG14" s="75" t="s">
        <v>254</v>
      </c>
      <c r="EH14" s="75" t="s">
        <v>254</v>
      </c>
      <c r="EI14" s="75" t="s">
        <v>254</v>
      </c>
      <c r="EJ14" s="75" t="s">
        <v>254</v>
      </c>
      <c r="EK14" s="75"/>
      <c r="EL14" s="75" t="s">
        <v>254</v>
      </c>
      <c r="EM14" s="75" t="s">
        <v>254</v>
      </c>
      <c r="EN14" s="75" t="s">
        <v>254</v>
      </c>
      <c r="EO14" s="75" t="s">
        <v>254</v>
      </c>
      <c r="EP14" s="75" t="s">
        <v>254</v>
      </c>
      <c r="EQ14" s="75"/>
      <c r="ER14" s="75" t="s">
        <v>254</v>
      </c>
      <c r="ES14" s="75" t="s">
        <v>254</v>
      </c>
      <c r="ET14" s="75" t="s">
        <v>254</v>
      </c>
      <c r="EU14" s="75" t="s">
        <v>254</v>
      </c>
      <c r="EV14" s="75" t="s">
        <v>254</v>
      </c>
      <c r="EW14" s="75" t="s">
        <v>254</v>
      </c>
      <c r="EX14" s="75" t="s">
        <v>254</v>
      </c>
      <c r="EY14" s="75"/>
      <c r="EZ14" s="75" t="s">
        <v>254</v>
      </c>
      <c r="FA14" s="75" t="s">
        <v>254</v>
      </c>
      <c r="FB14" s="75" t="s">
        <v>254</v>
      </c>
      <c r="FC14" s="75" t="s">
        <v>254</v>
      </c>
      <c r="FD14" s="75" t="s">
        <v>254</v>
      </c>
      <c r="FE14" s="75" t="s">
        <v>254</v>
      </c>
      <c r="FF14" s="75"/>
      <c r="FG14" s="75" t="s">
        <v>254</v>
      </c>
      <c r="FH14" s="81" t="s">
        <v>254</v>
      </c>
      <c r="FI14" s="75" t="s">
        <v>254</v>
      </c>
      <c r="FJ14" s="75" t="s">
        <v>254</v>
      </c>
      <c r="FK14" s="75" t="s">
        <v>254</v>
      </c>
      <c r="FL14" s="75"/>
      <c r="FM14" s="75" t="s">
        <v>254</v>
      </c>
      <c r="FN14" s="75" t="s">
        <v>254</v>
      </c>
      <c r="FO14" s="75" t="s">
        <v>254</v>
      </c>
      <c r="FP14" s="75" t="s">
        <v>254</v>
      </c>
      <c r="FQ14" s="75" t="s">
        <v>254</v>
      </c>
      <c r="FR14" s="75"/>
      <c r="FS14" s="75" t="s">
        <v>254</v>
      </c>
      <c r="FT14" s="75" t="s">
        <v>254</v>
      </c>
      <c r="FU14" s="75" t="s">
        <v>254</v>
      </c>
      <c r="FV14" s="75" t="s">
        <v>254</v>
      </c>
      <c r="FW14" s="75" t="s">
        <v>254</v>
      </c>
      <c r="FX14" s="75" t="s">
        <v>254</v>
      </c>
      <c r="FY14" s="75"/>
      <c r="FZ14" s="75" t="s">
        <v>254</v>
      </c>
      <c r="GA14" s="81" t="s">
        <v>227</v>
      </c>
      <c r="GB14" s="75" t="s">
        <v>254</v>
      </c>
      <c r="GC14" s="75" t="s">
        <v>254</v>
      </c>
      <c r="GD14" s="75" t="s">
        <v>254</v>
      </c>
      <c r="GE14" s="75" t="s">
        <v>254</v>
      </c>
      <c r="GF14" s="75" t="s">
        <v>254</v>
      </c>
      <c r="GG14" s="75"/>
      <c r="GH14" s="75" t="s">
        <v>254</v>
      </c>
      <c r="GI14" s="81" t="s">
        <v>254</v>
      </c>
      <c r="GJ14" s="75" t="s">
        <v>254</v>
      </c>
      <c r="GK14" s="75" t="s">
        <v>254</v>
      </c>
      <c r="GL14" s="75" t="s">
        <v>254</v>
      </c>
      <c r="GM14" s="75"/>
      <c r="GN14" s="81" t="s">
        <v>233</v>
      </c>
      <c r="GO14" s="75" t="s">
        <v>254</v>
      </c>
      <c r="GP14" s="75" t="s">
        <v>254</v>
      </c>
      <c r="GQ14" s="81" t="s">
        <v>233</v>
      </c>
      <c r="GR14" s="81"/>
      <c r="GS14" s="75" t="s">
        <v>254</v>
      </c>
      <c r="GT14" s="75" t="s">
        <v>254</v>
      </c>
      <c r="GU14" s="75" t="s">
        <v>254</v>
      </c>
      <c r="GV14" s="75" t="s">
        <v>254</v>
      </c>
      <c r="GW14" s="75" t="s">
        <v>254</v>
      </c>
      <c r="GX14" s="75" t="s">
        <v>254</v>
      </c>
      <c r="GY14" s="75" t="s">
        <v>254</v>
      </c>
      <c r="GZ14" s="75" t="s">
        <v>254</v>
      </c>
      <c r="HA14" s="75" t="s">
        <v>254</v>
      </c>
      <c r="HB14" s="75" t="s">
        <v>254</v>
      </c>
      <c r="HC14" s="75" t="s">
        <v>254</v>
      </c>
      <c r="HD14" s="75" t="s">
        <v>254</v>
      </c>
      <c r="HE14" s="75"/>
      <c r="HF14" s="75" t="s">
        <v>254</v>
      </c>
      <c r="HG14" s="75" t="s">
        <v>254</v>
      </c>
      <c r="HH14" s="75" t="s">
        <v>254</v>
      </c>
      <c r="HI14" s="75" t="s">
        <v>254</v>
      </c>
      <c r="HJ14" s="75" t="s">
        <v>254</v>
      </c>
      <c r="HK14" s="75" t="s">
        <v>254</v>
      </c>
      <c r="HL14" s="75" t="s">
        <v>254</v>
      </c>
      <c r="HM14" s="75"/>
      <c r="HN14" s="75" t="s">
        <v>254</v>
      </c>
      <c r="HO14" s="75" t="s">
        <v>254</v>
      </c>
      <c r="HP14" s="75" t="s">
        <v>254</v>
      </c>
      <c r="HQ14" s="75" t="s">
        <v>254</v>
      </c>
      <c r="HR14" s="75" t="s">
        <v>254</v>
      </c>
      <c r="HS14" s="75" t="s">
        <v>254</v>
      </c>
      <c r="HT14" s="75"/>
      <c r="HU14" s="75" t="s">
        <v>254</v>
      </c>
      <c r="HV14" s="75" t="s">
        <v>254</v>
      </c>
      <c r="HW14" s="75" t="s">
        <v>254</v>
      </c>
      <c r="HX14" s="75" t="s">
        <v>254</v>
      </c>
      <c r="HY14" s="75" t="s">
        <v>254</v>
      </c>
      <c r="HZ14" s="75" t="s">
        <v>254</v>
      </c>
      <c r="IA14" s="75"/>
      <c r="IB14" s="75" t="s">
        <v>254</v>
      </c>
      <c r="IC14" s="81" t="s">
        <v>254</v>
      </c>
      <c r="ID14" s="81" t="s">
        <v>254</v>
      </c>
      <c r="IE14" s="81" t="s">
        <v>254</v>
      </c>
      <c r="IF14" s="75" t="s">
        <v>254</v>
      </c>
      <c r="IG14" s="75" t="s">
        <v>254</v>
      </c>
      <c r="IH14" s="75"/>
      <c r="II14" s="75" t="s">
        <v>254</v>
      </c>
      <c r="IJ14" s="75" t="s">
        <v>254</v>
      </c>
      <c r="IK14" s="75" t="s">
        <v>254</v>
      </c>
      <c r="IL14" s="75" t="s">
        <v>254</v>
      </c>
      <c r="IM14" s="75" t="s">
        <v>254</v>
      </c>
      <c r="IN14" s="75"/>
      <c r="IO14" s="81" t="s">
        <v>233</v>
      </c>
      <c r="IP14" s="75" t="s">
        <v>248</v>
      </c>
      <c r="IQ14" s="81" t="s">
        <v>233</v>
      </c>
      <c r="IR14" s="81" t="s">
        <v>233</v>
      </c>
      <c r="IS14" s="75" t="s">
        <v>254</v>
      </c>
      <c r="IT14" s="75" t="s">
        <v>254</v>
      </c>
      <c r="IU14" s="81" t="s">
        <v>233</v>
      </c>
      <c r="IV14" s="81"/>
      <c r="IW14" s="75" t="s">
        <v>254</v>
      </c>
      <c r="IX14" s="75" t="s">
        <v>248</v>
      </c>
      <c r="IY14" s="75" t="s">
        <v>254</v>
      </c>
      <c r="IZ14" s="75" t="s">
        <v>254</v>
      </c>
      <c r="JA14" s="75" t="s">
        <v>254</v>
      </c>
      <c r="JB14" s="81"/>
      <c r="JC14" s="75" t="s">
        <v>254</v>
      </c>
      <c r="JD14" s="81" t="s">
        <v>47</v>
      </c>
      <c r="JE14" s="75" t="s">
        <v>254</v>
      </c>
      <c r="JF14" s="81" t="s">
        <v>254</v>
      </c>
      <c r="JG14" s="81" t="s">
        <v>254</v>
      </c>
      <c r="JH14" s="81" t="s">
        <v>254</v>
      </c>
      <c r="JI14" s="81" t="s">
        <v>254</v>
      </c>
      <c r="JJ14" s="75" t="s">
        <v>254</v>
      </c>
      <c r="JK14" s="75" t="s">
        <v>254</v>
      </c>
      <c r="JL14" s="75"/>
      <c r="JM14" s="75" t="s">
        <v>254</v>
      </c>
      <c r="JN14" s="75" t="s">
        <v>254</v>
      </c>
      <c r="JO14" s="75" t="s">
        <v>254</v>
      </c>
      <c r="JP14" s="75"/>
      <c r="JQ14" s="75" t="s">
        <v>254</v>
      </c>
      <c r="JR14" s="75" t="s">
        <v>254</v>
      </c>
      <c r="JS14" s="75" t="s">
        <v>254</v>
      </c>
      <c r="JT14" s="75" t="s">
        <v>254</v>
      </c>
      <c r="JU14" s="75" t="s">
        <v>254</v>
      </c>
      <c r="JV14" s="75" t="s">
        <v>254</v>
      </c>
    </row>
    <row r="15" spans="1:282" x14ac:dyDescent="0.15">
      <c r="A15" s="214" t="s">
        <v>22</v>
      </c>
      <c r="B15" s="6" t="s">
        <v>484</v>
      </c>
      <c r="C15" s="6">
        <v>150000</v>
      </c>
      <c r="D15" s="6">
        <v>1</v>
      </c>
      <c r="E15" s="6">
        <v>5</v>
      </c>
      <c r="F15" s="6">
        <v>5</v>
      </c>
      <c r="G15" s="6" t="s">
        <v>37</v>
      </c>
      <c r="H15" s="6" t="s">
        <v>53</v>
      </c>
      <c r="I15" s="6" t="s">
        <v>46</v>
      </c>
      <c r="J15" s="21" t="s">
        <v>703</v>
      </c>
      <c r="K15" s="21">
        <v>2</v>
      </c>
      <c r="L15" s="21">
        <v>2</v>
      </c>
      <c r="M15" s="21">
        <v>1</v>
      </c>
      <c r="N15" s="21">
        <v>0</v>
      </c>
      <c r="O15" s="21">
        <v>1</v>
      </c>
      <c r="P15" s="21" t="str">
        <f>IF(TeamT[[#This Row],[General]]+TeamT[[#This Row],[Agility]]+TeamT[[#This Row],[Strength]]+TeamT[[#This Row],[Passing]]+TeamT[[#This Row],[Mutation]]&gt;0,IF(TeamT[[#This Row],[General]]=1,"G","")&amp;IF(TeamT[[#This Row],[Agility]]=1,"A","")&amp;IF(TeamT[[#This Row],[Strength]]=1,"S","")&amp;IF(TeamT[[#This Row],[Passing]]=1,"P","")&amp;IF(TeamT[[#This Row],[Mutation]]=1,"M",""),"Star")</f>
        <v>SM</v>
      </c>
      <c r="Q15" s="21" t="str">
        <f>IF(TeamT[[#This Row],[General]]=2,"G","")&amp;IF(TeamT[[#This Row],[Agility]]=2,"A","")&amp;IF(TeamT[[#This Row],[Strength]]=2,"S","")&amp;IF(TeamT[[#This Row],[Passing]]=2,"P","")&amp;IF(TeamT[[#This Row],[Mutation]]=2,"M","")</f>
        <v>GA</v>
      </c>
      <c r="R15" s="212"/>
      <c r="S15" s="21">
        <v>4</v>
      </c>
      <c r="T15" s="21" t="s">
        <v>53</v>
      </c>
      <c r="U15" s="21">
        <v>9</v>
      </c>
      <c r="AA15" s="76" t="e">
        <f>HLOOKUP(Roster!$E$5,Team!$BL$2:$MK$128,14,FALSE)</f>
        <v>#N/A</v>
      </c>
      <c r="AB15" s="76" t="e">
        <f>HLOOKUP(Roster!$E$6,Team!$BL$2:$MK$128,14,FALSE)</f>
        <v>#N/A</v>
      </c>
      <c r="AC15" s="76" t="e">
        <f>HLOOKUP(Roster!$E$7,Team!$BL$2:$MK$128,14,FALSE)</f>
        <v>#N/A</v>
      </c>
      <c r="AD15" s="76" t="e">
        <f>HLOOKUP(Roster!$E$8,Team!$BL$2:$MK$128,14,FALSE)</f>
        <v>#N/A</v>
      </c>
      <c r="AE15" s="76" t="e">
        <f>HLOOKUP(Roster!$E$9,Team!$BL$2:$MK$128,14,FALSE)</f>
        <v>#N/A</v>
      </c>
      <c r="AF15" s="76" t="e">
        <f>HLOOKUP(Roster!$E$10,Team!$BL$2:$MK$128,14,FALSE)</f>
        <v>#N/A</v>
      </c>
      <c r="AG15" s="76" t="e">
        <f>HLOOKUP(Roster!$E$11,Team!$BL$2:$MK$128,14,FALSE)</f>
        <v>#N/A</v>
      </c>
      <c r="AH15" s="76" t="e">
        <f>HLOOKUP(Roster!$E$12,Team!$BL$2:$MK$128,14,FALSE)</f>
        <v>#N/A</v>
      </c>
      <c r="AI15" s="76" t="e">
        <f>HLOOKUP(Roster!$E$13,Team!$BL$2:$MK$128,14,FALSE)</f>
        <v>#N/A</v>
      </c>
      <c r="AJ15" s="76" t="e">
        <f>HLOOKUP(Roster!$E$14,Team!$BL$2:$MK$128,14,FALSE)</f>
        <v>#N/A</v>
      </c>
      <c r="AK15" s="76" t="e">
        <f>HLOOKUP(Roster!$E$15,Team!$BL$2:$MK$128,14,FALSE)</f>
        <v>#N/A</v>
      </c>
      <c r="AL15" s="76" t="e">
        <f>HLOOKUP(Roster!$E$16,Team!$BL$2:$MK$128,14,FALSE)</f>
        <v>#N/A</v>
      </c>
      <c r="AM15" s="76" t="e">
        <f>HLOOKUP(Roster!$E$17,Team!$BL$2:$MK$128,14,FALSE)</f>
        <v>#N/A</v>
      </c>
      <c r="AN15" s="76" t="e">
        <f>HLOOKUP(Roster!$E$18,Team!$BL$2:$MK$128,14,FALSE)</f>
        <v>#N/A</v>
      </c>
      <c r="AO15" s="76" t="e">
        <f>HLOOKUP(Roster!$E$19,Team!$BL$2:$MK$128,14,FALSE)</f>
        <v>#N/A</v>
      </c>
      <c r="AP15" s="76" t="e">
        <f>HLOOKUP(Roster!$E$20,Team!$BL$2:$MK$128,14,FALSE)</f>
        <v>#N/A</v>
      </c>
      <c r="AR15" s="108">
        <f t="shared" si="1"/>
        <v>0</v>
      </c>
      <c r="AS15" s="108">
        <f t="shared" si="2"/>
        <v>0</v>
      </c>
      <c r="AT15" s="108">
        <f t="shared" si="3"/>
        <v>0</v>
      </c>
      <c r="AU15" s="108">
        <f t="shared" si="4"/>
        <v>0</v>
      </c>
      <c r="AV15" s="108">
        <f t="shared" si="5"/>
        <v>0</v>
      </c>
      <c r="AW15" s="108">
        <f t="shared" si="6"/>
        <v>0</v>
      </c>
      <c r="AX15" s="108">
        <f t="shared" si="7"/>
        <v>0</v>
      </c>
      <c r="AY15" s="108">
        <f t="shared" si="8"/>
        <v>0</v>
      </c>
      <c r="AZ15" s="108">
        <f t="shared" si="9"/>
        <v>0</v>
      </c>
      <c r="BA15" s="108">
        <f t="shared" si="10"/>
        <v>0</v>
      </c>
      <c r="BB15" s="108">
        <f t="shared" si="11"/>
        <v>0</v>
      </c>
      <c r="BC15" s="108">
        <f t="shared" si="12"/>
        <v>0</v>
      </c>
      <c r="BD15" s="108">
        <f t="shared" si="13"/>
        <v>0</v>
      </c>
      <c r="BE15" s="108">
        <f t="shared" si="14"/>
        <v>0</v>
      </c>
      <c r="BF15" s="108">
        <f t="shared" si="15"/>
        <v>0</v>
      </c>
      <c r="BG15" s="108">
        <f t="shared" si="16"/>
        <v>0</v>
      </c>
      <c r="BL15" s="75" t="s">
        <v>274</v>
      </c>
      <c r="BM15" s="75" t="s">
        <v>274</v>
      </c>
      <c r="BN15" s="75" t="s">
        <v>274</v>
      </c>
      <c r="BO15" s="75" t="s">
        <v>274</v>
      </c>
      <c r="BP15" s="75" t="s">
        <v>274</v>
      </c>
      <c r="BQ15" s="75"/>
      <c r="BR15" s="75" t="s">
        <v>274</v>
      </c>
      <c r="BS15" s="75" t="s">
        <v>274</v>
      </c>
      <c r="BT15" s="75" t="s">
        <v>274</v>
      </c>
      <c r="BU15" s="75" t="s">
        <v>274</v>
      </c>
      <c r="BV15" s="75"/>
      <c r="BW15" s="81" t="s">
        <v>274</v>
      </c>
      <c r="BX15" s="75" t="s">
        <v>274</v>
      </c>
      <c r="BY15" s="75" t="s">
        <v>274</v>
      </c>
      <c r="BZ15" s="75" t="s">
        <v>274</v>
      </c>
      <c r="CA15" s="75" t="s">
        <v>274</v>
      </c>
      <c r="CB15" s="81" t="s">
        <v>274</v>
      </c>
      <c r="CC15" s="77"/>
      <c r="CD15" s="75" t="s">
        <v>274</v>
      </c>
      <c r="CE15" s="75" t="s">
        <v>274</v>
      </c>
      <c r="CF15" s="75" t="s">
        <v>274</v>
      </c>
      <c r="CG15" s="75" t="s">
        <v>274</v>
      </c>
      <c r="CH15" s="75" t="s">
        <v>274</v>
      </c>
      <c r="CI15" s="77"/>
      <c r="CJ15" s="75" t="s">
        <v>274</v>
      </c>
      <c r="CK15" s="81" t="s">
        <v>274</v>
      </c>
      <c r="CL15" s="81" t="s">
        <v>249</v>
      </c>
      <c r="CM15" s="75" t="s">
        <v>274</v>
      </c>
      <c r="CN15" s="75" t="s">
        <v>274</v>
      </c>
      <c r="CO15" s="81" t="s">
        <v>274</v>
      </c>
      <c r="CP15" s="75" t="s">
        <v>274</v>
      </c>
      <c r="CQ15" s="75" t="s">
        <v>274</v>
      </c>
      <c r="CR15" s="75" t="s">
        <v>274</v>
      </c>
      <c r="CS15" s="75" t="s">
        <v>274</v>
      </c>
      <c r="CT15" s="75" t="s">
        <v>274</v>
      </c>
      <c r="CU15" s="75"/>
      <c r="CV15" s="75" t="s">
        <v>274</v>
      </c>
      <c r="CW15" s="75" t="s">
        <v>274</v>
      </c>
      <c r="CX15" s="75" t="s">
        <v>274</v>
      </c>
      <c r="CY15" s="75" t="s">
        <v>274</v>
      </c>
      <c r="CZ15" s="75" t="s">
        <v>274</v>
      </c>
      <c r="DA15" s="75"/>
      <c r="DB15" s="75" t="s">
        <v>274</v>
      </c>
      <c r="DC15" s="75" t="s">
        <v>274</v>
      </c>
      <c r="DD15" s="75" t="s">
        <v>274</v>
      </c>
      <c r="DE15" s="75" t="s">
        <v>274</v>
      </c>
      <c r="DF15" s="75" t="s">
        <v>274</v>
      </c>
      <c r="DG15" s="75" t="s">
        <v>274</v>
      </c>
      <c r="DH15" s="75"/>
      <c r="DI15" s="75" t="s">
        <v>274</v>
      </c>
      <c r="DJ15" s="75" t="s">
        <v>274</v>
      </c>
      <c r="DK15" s="75" t="s">
        <v>274</v>
      </c>
      <c r="DL15" s="75" t="s">
        <v>274</v>
      </c>
      <c r="DM15" s="75" t="s">
        <v>274</v>
      </c>
      <c r="DN15" s="75" t="s">
        <v>274</v>
      </c>
      <c r="DO15" s="75"/>
      <c r="DP15" s="75" t="s">
        <v>274</v>
      </c>
      <c r="DQ15" s="75" t="s">
        <v>274</v>
      </c>
      <c r="DR15" s="75" t="s">
        <v>274</v>
      </c>
      <c r="DS15" s="75" t="s">
        <v>274</v>
      </c>
      <c r="DT15" s="75" t="s">
        <v>274</v>
      </c>
      <c r="DU15" s="75"/>
      <c r="DV15" s="75" t="s">
        <v>274</v>
      </c>
      <c r="DW15" s="75" t="s">
        <v>274</v>
      </c>
      <c r="DX15" s="75" t="s">
        <v>274</v>
      </c>
      <c r="DY15" s="75" t="s">
        <v>274</v>
      </c>
      <c r="DZ15" s="75" t="s">
        <v>274</v>
      </c>
      <c r="EA15" s="75" t="s">
        <v>274</v>
      </c>
      <c r="EB15" s="75" t="s">
        <v>274</v>
      </c>
      <c r="EC15" s="75" t="s">
        <v>274</v>
      </c>
      <c r="ED15" s="75" t="s">
        <v>274</v>
      </c>
      <c r="EE15" s="75"/>
      <c r="EF15" s="75" t="s">
        <v>274</v>
      </c>
      <c r="EG15" s="75" t="s">
        <v>274</v>
      </c>
      <c r="EH15" s="75" t="s">
        <v>274</v>
      </c>
      <c r="EI15" s="75" t="s">
        <v>274</v>
      </c>
      <c r="EJ15" s="75" t="s">
        <v>274</v>
      </c>
      <c r="EK15" s="75"/>
      <c r="EL15" s="75" t="s">
        <v>274</v>
      </c>
      <c r="EM15" s="75" t="s">
        <v>274</v>
      </c>
      <c r="EN15" s="75" t="s">
        <v>274</v>
      </c>
      <c r="EO15" s="75" t="s">
        <v>274</v>
      </c>
      <c r="EP15" s="75" t="s">
        <v>274</v>
      </c>
      <c r="EQ15" s="75"/>
      <c r="ER15" s="75" t="s">
        <v>274</v>
      </c>
      <c r="ES15" s="75" t="s">
        <v>274</v>
      </c>
      <c r="ET15" s="75" t="s">
        <v>274</v>
      </c>
      <c r="EU15" s="75" t="s">
        <v>274</v>
      </c>
      <c r="EV15" s="75" t="s">
        <v>274</v>
      </c>
      <c r="EW15" s="75" t="s">
        <v>274</v>
      </c>
      <c r="EX15" s="75" t="s">
        <v>274</v>
      </c>
      <c r="EY15" s="75"/>
      <c r="EZ15" s="75" t="s">
        <v>274</v>
      </c>
      <c r="FA15" s="75" t="s">
        <v>274</v>
      </c>
      <c r="FB15" s="75" t="s">
        <v>274</v>
      </c>
      <c r="FC15" s="75" t="s">
        <v>274</v>
      </c>
      <c r="FD15" s="75" t="s">
        <v>274</v>
      </c>
      <c r="FE15" s="75" t="s">
        <v>274</v>
      </c>
      <c r="FF15" s="75"/>
      <c r="FG15" s="75" t="s">
        <v>274</v>
      </c>
      <c r="FH15" s="81" t="s">
        <v>274</v>
      </c>
      <c r="FI15" s="75" t="s">
        <v>274</v>
      </c>
      <c r="FJ15" s="75" t="s">
        <v>274</v>
      </c>
      <c r="FK15" s="75" t="s">
        <v>274</v>
      </c>
      <c r="FL15" s="75"/>
      <c r="FM15" s="75" t="s">
        <v>274</v>
      </c>
      <c r="FN15" s="75" t="s">
        <v>274</v>
      </c>
      <c r="FO15" s="75" t="s">
        <v>274</v>
      </c>
      <c r="FP15" s="75" t="s">
        <v>274</v>
      </c>
      <c r="FQ15" s="75" t="s">
        <v>274</v>
      </c>
      <c r="FR15" s="75"/>
      <c r="FS15" s="75" t="s">
        <v>274</v>
      </c>
      <c r="FT15" s="75" t="s">
        <v>274</v>
      </c>
      <c r="FU15" s="75" t="s">
        <v>274</v>
      </c>
      <c r="FV15" s="75" t="s">
        <v>274</v>
      </c>
      <c r="FW15" s="75" t="s">
        <v>274</v>
      </c>
      <c r="FX15" s="75" t="s">
        <v>274</v>
      </c>
      <c r="FY15" s="75"/>
      <c r="FZ15" s="75" t="s">
        <v>274</v>
      </c>
      <c r="GA15" s="81" t="s">
        <v>228</v>
      </c>
      <c r="GB15" s="75" t="s">
        <v>274</v>
      </c>
      <c r="GC15" s="75" t="s">
        <v>274</v>
      </c>
      <c r="GD15" s="75" t="s">
        <v>274</v>
      </c>
      <c r="GE15" s="75" t="s">
        <v>274</v>
      </c>
      <c r="GF15" s="75" t="s">
        <v>274</v>
      </c>
      <c r="GG15" s="75"/>
      <c r="GH15" s="75" t="s">
        <v>274</v>
      </c>
      <c r="GI15" s="81" t="s">
        <v>274</v>
      </c>
      <c r="GJ15" s="75" t="s">
        <v>274</v>
      </c>
      <c r="GK15" s="75" t="s">
        <v>274</v>
      </c>
      <c r="GL15" s="75" t="s">
        <v>274</v>
      </c>
      <c r="GM15" s="75"/>
      <c r="GN15" s="81" t="s">
        <v>234</v>
      </c>
      <c r="GO15" s="75" t="s">
        <v>274</v>
      </c>
      <c r="GP15" s="75" t="s">
        <v>274</v>
      </c>
      <c r="GQ15" s="81" t="s">
        <v>234</v>
      </c>
      <c r="GR15" s="81"/>
      <c r="GS15" s="75" t="s">
        <v>274</v>
      </c>
      <c r="GT15" s="75" t="s">
        <v>274</v>
      </c>
      <c r="GU15" s="75" t="s">
        <v>274</v>
      </c>
      <c r="GV15" s="75" t="s">
        <v>274</v>
      </c>
      <c r="GW15" s="75" t="s">
        <v>274</v>
      </c>
      <c r="GX15" s="75" t="s">
        <v>274</v>
      </c>
      <c r="GY15" s="75" t="s">
        <v>274</v>
      </c>
      <c r="GZ15" s="75" t="s">
        <v>274</v>
      </c>
      <c r="HA15" s="75" t="s">
        <v>274</v>
      </c>
      <c r="HB15" s="75" t="s">
        <v>274</v>
      </c>
      <c r="HC15" s="75" t="s">
        <v>274</v>
      </c>
      <c r="HD15" s="75" t="s">
        <v>274</v>
      </c>
      <c r="HE15" s="75"/>
      <c r="HF15" s="75" t="s">
        <v>274</v>
      </c>
      <c r="HG15" s="75" t="s">
        <v>274</v>
      </c>
      <c r="HH15" s="75" t="s">
        <v>274</v>
      </c>
      <c r="HI15" s="75" t="s">
        <v>274</v>
      </c>
      <c r="HJ15" s="75" t="s">
        <v>274</v>
      </c>
      <c r="HK15" s="75" t="s">
        <v>274</v>
      </c>
      <c r="HL15" s="75" t="s">
        <v>274</v>
      </c>
      <c r="HM15" s="75"/>
      <c r="HN15" s="75" t="s">
        <v>274</v>
      </c>
      <c r="HO15" s="75" t="s">
        <v>274</v>
      </c>
      <c r="HP15" s="75" t="s">
        <v>274</v>
      </c>
      <c r="HQ15" s="75" t="s">
        <v>274</v>
      </c>
      <c r="HR15" s="75" t="s">
        <v>274</v>
      </c>
      <c r="HS15" s="75" t="s">
        <v>274</v>
      </c>
      <c r="HT15" s="75"/>
      <c r="HU15" s="75" t="s">
        <v>274</v>
      </c>
      <c r="HV15" s="75" t="s">
        <v>274</v>
      </c>
      <c r="HW15" s="75" t="s">
        <v>274</v>
      </c>
      <c r="HX15" s="75" t="s">
        <v>274</v>
      </c>
      <c r="HY15" s="75" t="s">
        <v>274</v>
      </c>
      <c r="HZ15" s="75" t="s">
        <v>274</v>
      </c>
      <c r="IA15" s="75"/>
      <c r="IB15" s="75" t="s">
        <v>274</v>
      </c>
      <c r="IC15" s="81" t="s">
        <v>274</v>
      </c>
      <c r="ID15" s="81" t="s">
        <v>274</v>
      </c>
      <c r="IE15" s="81" t="s">
        <v>274</v>
      </c>
      <c r="IF15" s="75" t="s">
        <v>274</v>
      </c>
      <c r="IG15" s="75" t="s">
        <v>274</v>
      </c>
      <c r="IH15" s="75"/>
      <c r="II15" s="75" t="s">
        <v>274</v>
      </c>
      <c r="IJ15" s="75" t="s">
        <v>274</v>
      </c>
      <c r="IK15" s="75" t="s">
        <v>274</v>
      </c>
      <c r="IL15" s="75" t="s">
        <v>274</v>
      </c>
      <c r="IM15" s="75" t="s">
        <v>274</v>
      </c>
      <c r="IN15" s="75"/>
      <c r="IO15" s="81" t="s">
        <v>234</v>
      </c>
      <c r="IP15" s="75" t="s">
        <v>249</v>
      </c>
      <c r="IQ15" s="81" t="s">
        <v>234</v>
      </c>
      <c r="IR15" s="81" t="s">
        <v>234</v>
      </c>
      <c r="IS15" s="75" t="s">
        <v>274</v>
      </c>
      <c r="IT15" s="75" t="s">
        <v>274</v>
      </c>
      <c r="IU15" s="81" t="s">
        <v>234</v>
      </c>
      <c r="IV15" s="81"/>
      <c r="IW15" s="75" t="s">
        <v>274</v>
      </c>
      <c r="IX15" s="75" t="s">
        <v>249</v>
      </c>
      <c r="IY15" s="75" t="s">
        <v>274</v>
      </c>
      <c r="IZ15" s="75" t="s">
        <v>274</v>
      </c>
      <c r="JA15" s="75" t="s">
        <v>274</v>
      </c>
      <c r="JB15" s="81"/>
      <c r="JC15" s="75" t="s">
        <v>274</v>
      </c>
      <c r="JD15" s="81" t="s">
        <v>266</v>
      </c>
      <c r="JE15" s="75" t="s">
        <v>274</v>
      </c>
      <c r="JF15" s="81" t="s">
        <v>274</v>
      </c>
      <c r="JG15" s="81" t="s">
        <v>274</v>
      </c>
      <c r="JH15" s="81" t="s">
        <v>274</v>
      </c>
      <c r="JI15" s="81" t="s">
        <v>274</v>
      </c>
      <c r="JJ15" s="75" t="s">
        <v>274</v>
      </c>
      <c r="JK15" s="75" t="s">
        <v>274</v>
      </c>
      <c r="JL15" s="75"/>
      <c r="JM15" s="75" t="s">
        <v>274</v>
      </c>
      <c r="JN15" s="75" t="s">
        <v>274</v>
      </c>
      <c r="JO15" s="75" t="s">
        <v>274</v>
      </c>
      <c r="JP15" s="75"/>
      <c r="JQ15" s="75" t="s">
        <v>274</v>
      </c>
      <c r="JR15" s="75" t="s">
        <v>274</v>
      </c>
      <c r="JS15" s="75" t="s">
        <v>274</v>
      </c>
      <c r="JT15" s="75" t="s">
        <v>274</v>
      </c>
      <c r="JU15" s="75" t="s">
        <v>274</v>
      </c>
      <c r="JV15" s="75" t="s">
        <v>274</v>
      </c>
    </row>
    <row r="16" spans="1:282" x14ac:dyDescent="0.15">
      <c r="A16" s="214" t="s">
        <v>538</v>
      </c>
      <c r="B16" s="6" t="s">
        <v>484</v>
      </c>
      <c r="C16" s="6">
        <v>60000</v>
      </c>
      <c r="D16" s="6">
        <v>11</v>
      </c>
      <c r="E16" s="6">
        <v>6</v>
      </c>
      <c r="F16" s="6">
        <v>3</v>
      </c>
      <c r="G16" s="6" t="s">
        <v>36</v>
      </c>
      <c r="H16" s="6" t="s">
        <v>37</v>
      </c>
      <c r="I16" s="6" t="s">
        <v>46</v>
      </c>
      <c r="J16" s="21" t="s">
        <v>54</v>
      </c>
      <c r="K16" s="21">
        <v>1</v>
      </c>
      <c r="L16" s="21">
        <v>2</v>
      </c>
      <c r="M16" s="21">
        <v>1</v>
      </c>
      <c r="N16" s="21">
        <v>2</v>
      </c>
      <c r="O16" s="21">
        <v>1</v>
      </c>
      <c r="P16" s="21" t="str">
        <f>IF(TeamT[[#This Row],[General]]+TeamT[[#This Row],[Agility]]+TeamT[[#This Row],[Strength]]+TeamT[[#This Row],[Passing]]+TeamT[[#This Row],[Mutation]]&gt;0,IF(TeamT[[#This Row],[General]]=1,"G","")&amp;IF(TeamT[[#This Row],[Agility]]=1,"A","")&amp;IF(TeamT[[#This Row],[Strength]]=1,"S","")&amp;IF(TeamT[[#This Row],[Passing]]=1,"P","")&amp;IF(TeamT[[#This Row],[Mutation]]=1,"M",""),"Star")</f>
        <v>GSM</v>
      </c>
      <c r="Q16" s="21" t="str">
        <f>IF(TeamT[[#This Row],[General]]=2,"G","")&amp;IF(TeamT[[#This Row],[Agility]]=2,"A","")&amp;IF(TeamT[[#This Row],[Strength]]=2,"S","")&amp;IF(TeamT[[#This Row],[Passing]]=2,"P","")&amp;IF(TeamT[[#This Row],[Mutation]]=2,"M","")</f>
        <v>AP</v>
      </c>
      <c r="R16" s="212"/>
      <c r="S16" s="21">
        <v>3</v>
      </c>
      <c r="T16" s="21">
        <v>4</v>
      </c>
      <c r="U16" s="21">
        <v>9</v>
      </c>
      <c r="AA16" s="76" t="e">
        <f>HLOOKUP(Roster!$E$5,Team!$BL$2:$MK$128,15,FALSE)</f>
        <v>#N/A</v>
      </c>
      <c r="AB16" s="76" t="e">
        <f>HLOOKUP(Roster!$E$6,Team!$BL$2:$MK$128,15,FALSE)</f>
        <v>#N/A</v>
      </c>
      <c r="AC16" s="76" t="e">
        <f>HLOOKUP(Roster!$E$7,Team!$BL$2:$MK$128,15,FALSE)</f>
        <v>#N/A</v>
      </c>
      <c r="AD16" s="76" t="e">
        <f>HLOOKUP(Roster!$E$8,Team!$BL$2:$MK$128,15,FALSE)</f>
        <v>#N/A</v>
      </c>
      <c r="AE16" s="76" t="e">
        <f>HLOOKUP(Roster!$E$9,Team!$BL$2:$MK$128,15,FALSE)</f>
        <v>#N/A</v>
      </c>
      <c r="AF16" s="76" t="e">
        <f>HLOOKUP(Roster!$E$10,Team!$BL$2:$MK$128,15,FALSE)</f>
        <v>#N/A</v>
      </c>
      <c r="AG16" s="76" t="e">
        <f>HLOOKUP(Roster!$E$11,Team!$BL$2:$MK$128,15,FALSE)</f>
        <v>#N/A</v>
      </c>
      <c r="AH16" s="76" t="e">
        <f>HLOOKUP(Roster!$E$12,Team!$BL$2:$MK$128,15,FALSE)</f>
        <v>#N/A</v>
      </c>
      <c r="AI16" s="76" t="e">
        <f>HLOOKUP(Roster!$E$13,Team!$BL$2:$MK$128,15,FALSE)</f>
        <v>#N/A</v>
      </c>
      <c r="AJ16" s="76" t="e">
        <f>HLOOKUP(Roster!$E$14,Team!$BL$2:$MK$128,15,FALSE)</f>
        <v>#N/A</v>
      </c>
      <c r="AK16" s="76" t="e">
        <f>HLOOKUP(Roster!$E$15,Team!$BL$2:$MK$128,15,FALSE)</f>
        <v>#N/A</v>
      </c>
      <c r="AL16" s="76" t="e">
        <f>HLOOKUP(Roster!$E$16,Team!$BL$2:$MK$128,15,FALSE)</f>
        <v>#N/A</v>
      </c>
      <c r="AM16" s="76" t="e">
        <f>HLOOKUP(Roster!$E$17,Team!$BL$2:$MK$128,15,FALSE)</f>
        <v>#N/A</v>
      </c>
      <c r="AN16" s="76" t="e">
        <f>HLOOKUP(Roster!$E$18,Team!$BL$2:$MK$128,15,FALSE)</f>
        <v>#N/A</v>
      </c>
      <c r="AO16" s="76" t="e">
        <f>HLOOKUP(Roster!$E$19,Team!$BL$2:$MK$128,15,FALSE)</f>
        <v>#N/A</v>
      </c>
      <c r="AP16" s="76" t="e">
        <f>HLOOKUP(Roster!$E$20,Team!$BL$2:$MK$128,15,FALSE)</f>
        <v>#N/A</v>
      </c>
      <c r="AR16" s="108">
        <f t="shared" si="1"/>
        <v>0</v>
      </c>
      <c r="AS16" s="108">
        <f t="shared" si="2"/>
        <v>0</v>
      </c>
      <c r="AT16" s="108">
        <f t="shared" si="3"/>
        <v>0</v>
      </c>
      <c r="AU16" s="108">
        <f t="shared" si="4"/>
        <v>0</v>
      </c>
      <c r="AV16" s="108">
        <f t="shared" si="5"/>
        <v>0</v>
      </c>
      <c r="AW16" s="108">
        <f t="shared" si="6"/>
        <v>0</v>
      </c>
      <c r="AX16" s="108">
        <f t="shared" si="7"/>
        <v>0</v>
      </c>
      <c r="AY16" s="108">
        <f t="shared" si="8"/>
        <v>0</v>
      </c>
      <c r="AZ16" s="108">
        <f t="shared" si="9"/>
        <v>0</v>
      </c>
      <c r="BA16" s="108">
        <f t="shared" si="10"/>
        <v>0</v>
      </c>
      <c r="BB16" s="108">
        <f t="shared" si="11"/>
        <v>0</v>
      </c>
      <c r="BC16" s="108">
        <f t="shared" si="12"/>
        <v>0</v>
      </c>
      <c r="BD16" s="108">
        <f t="shared" si="13"/>
        <v>0</v>
      </c>
      <c r="BE16" s="108">
        <f t="shared" si="14"/>
        <v>0</v>
      </c>
      <c r="BF16" s="108">
        <f t="shared" si="15"/>
        <v>0</v>
      </c>
      <c r="BG16" s="108">
        <f t="shared" si="16"/>
        <v>0</v>
      </c>
      <c r="BL16" s="75" t="s">
        <v>255</v>
      </c>
      <c r="BM16" s="75" t="s">
        <v>255</v>
      </c>
      <c r="BN16" s="75" t="s">
        <v>255</v>
      </c>
      <c r="BO16" s="75" t="s">
        <v>255</v>
      </c>
      <c r="BP16" s="75" t="s">
        <v>255</v>
      </c>
      <c r="BQ16" s="75"/>
      <c r="BR16" s="75" t="s">
        <v>255</v>
      </c>
      <c r="BS16" s="75" t="s">
        <v>255</v>
      </c>
      <c r="BT16" s="75" t="s">
        <v>255</v>
      </c>
      <c r="BU16" s="75" t="s">
        <v>255</v>
      </c>
      <c r="BV16" s="75"/>
      <c r="BW16" s="81" t="s">
        <v>255</v>
      </c>
      <c r="BX16" s="75" t="s">
        <v>255</v>
      </c>
      <c r="BY16" s="75" t="s">
        <v>255</v>
      </c>
      <c r="BZ16" s="75" t="s">
        <v>255</v>
      </c>
      <c r="CA16" s="75" t="s">
        <v>255</v>
      </c>
      <c r="CB16" s="81" t="s">
        <v>255</v>
      </c>
      <c r="CC16" s="77"/>
      <c r="CD16" s="75" t="s">
        <v>255</v>
      </c>
      <c r="CE16" s="75" t="s">
        <v>255</v>
      </c>
      <c r="CF16" s="75" t="s">
        <v>255</v>
      </c>
      <c r="CG16" s="75" t="s">
        <v>255</v>
      </c>
      <c r="CH16" s="75" t="s">
        <v>255</v>
      </c>
      <c r="CI16" s="77"/>
      <c r="CJ16" s="75" t="s">
        <v>255</v>
      </c>
      <c r="CK16" s="81" t="s">
        <v>255</v>
      </c>
      <c r="CL16" s="81" t="s">
        <v>250</v>
      </c>
      <c r="CM16" s="75" t="s">
        <v>255</v>
      </c>
      <c r="CN16" s="75" t="s">
        <v>255</v>
      </c>
      <c r="CO16" s="81" t="s">
        <v>255</v>
      </c>
      <c r="CP16" s="75" t="s">
        <v>255</v>
      </c>
      <c r="CQ16" s="75" t="s">
        <v>255</v>
      </c>
      <c r="CR16" s="75" t="s">
        <v>255</v>
      </c>
      <c r="CS16" s="75" t="s">
        <v>255</v>
      </c>
      <c r="CT16" s="75" t="s">
        <v>255</v>
      </c>
      <c r="CU16" s="75"/>
      <c r="CV16" s="75" t="s">
        <v>255</v>
      </c>
      <c r="CW16" s="75" t="s">
        <v>255</v>
      </c>
      <c r="CX16" s="75" t="s">
        <v>255</v>
      </c>
      <c r="CY16" s="75" t="s">
        <v>255</v>
      </c>
      <c r="CZ16" s="75" t="s">
        <v>255</v>
      </c>
      <c r="DA16" s="75"/>
      <c r="DB16" s="75" t="s">
        <v>255</v>
      </c>
      <c r="DC16" s="75" t="s">
        <v>255</v>
      </c>
      <c r="DD16" s="75" t="s">
        <v>255</v>
      </c>
      <c r="DE16" s="75" t="s">
        <v>255</v>
      </c>
      <c r="DF16" s="75" t="s">
        <v>255</v>
      </c>
      <c r="DG16" s="75" t="s">
        <v>255</v>
      </c>
      <c r="DH16" s="75"/>
      <c r="DI16" s="75" t="s">
        <v>255</v>
      </c>
      <c r="DJ16" s="75" t="s">
        <v>255</v>
      </c>
      <c r="DK16" s="75" t="s">
        <v>255</v>
      </c>
      <c r="DL16" s="75" t="s">
        <v>255</v>
      </c>
      <c r="DM16" s="75" t="s">
        <v>255</v>
      </c>
      <c r="DN16" s="75" t="s">
        <v>255</v>
      </c>
      <c r="DO16" s="75"/>
      <c r="DP16" s="75" t="s">
        <v>255</v>
      </c>
      <c r="DQ16" s="75" t="s">
        <v>255</v>
      </c>
      <c r="DR16" s="75" t="s">
        <v>255</v>
      </c>
      <c r="DS16" s="75" t="s">
        <v>255</v>
      </c>
      <c r="DT16" s="75" t="s">
        <v>255</v>
      </c>
      <c r="DU16" s="75"/>
      <c r="DV16" s="75" t="s">
        <v>255</v>
      </c>
      <c r="DW16" s="75" t="s">
        <v>255</v>
      </c>
      <c r="DX16" s="75" t="s">
        <v>255</v>
      </c>
      <c r="DY16" s="75" t="s">
        <v>255</v>
      </c>
      <c r="DZ16" s="75" t="s">
        <v>255</v>
      </c>
      <c r="EA16" s="75" t="s">
        <v>255</v>
      </c>
      <c r="EB16" s="75" t="s">
        <v>255</v>
      </c>
      <c r="EC16" s="75" t="s">
        <v>255</v>
      </c>
      <c r="ED16" s="75" t="s">
        <v>255</v>
      </c>
      <c r="EE16" s="75"/>
      <c r="EF16" s="75" t="s">
        <v>255</v>
      </c>
      <c r="EG16" s="75" t="s">
        <v>255</v>
      </c>
      <c r="EH16" s="75" t="s">
        <v>255</v>
      </c>
      <c r="EI16" s="75" t="s">
        <v>255</v>
      </c>
      <c r="EJ16" s="75" t="s">
        <v>255</v>
      </c>
      <c r="EK16" s="75"/>
      <c r="EL16" s="75" t="s">
        <v>255</v>
      </c>
      <c r="EM16" s="75" t="s">
        <v>255</v>
      </c>
      <c r="EN16" s="75" t="s">
        <v>255</v>
      </c>
      <c r="EO16" s="75" t="s">
        <v>255</v>
      </c>
      <c r="EP16" s="75" t="s">
        <v>255</v>
      </c>
      <c r="EQ16" s="75"/>
      <c r="ER16" s="75" t="s">
        <v>255</v>
      </c>
      <c r="ES16" s="75" t="s">
        <v>255</v>
      </c>
      <c r="ET16" s="75" t="s">
        <v>255</v>
      </c>
      <c r="EU16" s="75" t="s">
        <v>255</v>
      </c>
      <c r="EV16" s="75" t="s">
        <v>255</v>
      </c>
      <c r="EW16" s="75" t="s">
        <v>255</v>
      </c>
      <c r="EX16" s="75" t="s">
        <v>255</v>
      </c>
      <c r="EY16" s="75"/>
      <c r="EZ16" s="75" t="s">
        <v>255</v>
      </c>
      <c r="FA16" s="75" t="s">
        <v>255</v>
      </c>
      <c r="FB16" s="75" t="s">
        <v>255</v>
      </c>
      <c r="FC16" s="75" t="s">
        <v>255</v>
      </c>
      <c r="FD16" s="75" t="s">
        <v>255</v>
      </c>
      <c r="FE16" s="75" t="s">
        <v>255</v>
      </c>
      <c r="FF16" s="75"/>
      <c r="FG16" s="75" t="s">
        <v>255</v>
      </c>
      <c r="FH16" s="81" t="s">
        <v>255</v>
      </c>
      <c r="FI16" s="75" t="s">
        <v>255</v>
      </c>
      <c r="FJ16" s="75" t="s">
        <v>255</v>
      </c>
      <c r="FK16" s="75" t="s">
        <v>255</v>
      </c>
      <c r="FL16" s="75"/>
      <c r="FM16" s="75" t="s">
        <v>255</v>
      </c>
      <c r="FN16" s="75" t="s">
        <v>255</v>
      </c>
      <c r="FO16" s="75" t="s">
        <v>255</v>
      </c>
      <c r="FP16" s="75" t="s">
        <v>255</v>
      </c>
      <c r="FQ16" s="75" t="s">
        <v>255</v>
      </c>
      <c r="FR16" s="75"/>
      <c r="FS16" s="75" t="s">
        <v>255</v>
      </c>
      <c r="FT16" s="75" t="s">
        <v>255</v>
      </c>
      <c r="FU16" s="75" t="s">
        <v>255</v>
      </c>
      <c r="FV16" s="75" t="s">
        <v>255</v>
      </c>
      <c r="FW16" s="75" t="s">
        <v>255</v>
      </c>
      <c r="FX16" s="75" t="s">
        <v>255</v>
      </c>
      <c r="FY16" s="75"/>
      <c r="FZ16" s="75" t="s">
        <v>255</v>
      </c>
      <c r="GA16" s="80" t="s">
        <v>260</v>
      </c>
      <c r="GB16" s="75" t="s">
        <v>255</v>
      </c>
      <c r="GC16" s="75" t="s">
        <v>255</v>
      </c>
      <c r="GD16" s="75" t="s">
        <v>255</v>
      </c>
      <c r="GE16" s="75" t="s">
        <v>255</v>
      </c>
      <c r="GF16" s="75" t="s">
        <v>255</v>
      </c>
      <c r="GG16" s="75"/>
      <c r="GH16" s="75" t="s">
        <v>255</v>
      </c>
      <c r="GI16" s="81" t="s">
        <v>255</v>
      </c>
      <c r="GJ16" s="75" t="s">
        <v>255</v>
      </c>
      <c r="GK16" s="75" t="s">
        <v>255</v>
      </c>
      <c r="GL16" s="75" t="s">
        <v>255</v>
      </c>
      <c r="GM16" s="75"/>
      <c r="GN16" s="81" t="s">
        <v>235</v>
      </c>
      <c r="GO16" s="75" t="s">
        <v>255</v>
      </c>
      <c r="GP16" s="75" t="s">
        <v>255</v>
      </c>
      <c r="GQ16" s="81" t="s">
        <v>235</v>
      </c>
      <c r="GR16" s="81"/>
      <c r="GS16" s="75" t="s">
        <v>255</v>
      </c>
      <c r="GT16" s="75" t="s">
        <v>255</v>
      </c>
      <c r="GU16" s="75" t="s">
        <v>255</v>
      </c>
      <c r="GV16" s="75" t="s">
        <v>255</v>
      </c>
      <c r="GW16" s="75" t="s">
        <v>255</v>
      </c>
      <c r="GX16" s="75" t="s">
        <v>255</v>
      </c>
      <c r="GY16" s="75" t="s">
        <v>255</v>
      </c>
      <c r="GZ16" s="75" t="s">
        <v>255</v>
      </c>
      <c r="HA16" s="75" t="s">
        <v>255</v>
      </c>
      <c r="HB16" s="75" t="s">
        <v>255</v>
      </c>
      <c r="HC16" s="75" t="s">
        <v>255</v>
      </c>
      <c r="HD16" s="75" t="s">
        <v>255</v>
      </c>
      <c r="HE16" s="75"/>
      <c r="HF16" s="75" t="s">
        <v>255</v>
      </c>
      <c r="HG16" s="75" t="s">
        <v>255</v>
      </c>
      <c r="HH16" s="75" t="s">
        <v>255</v>
      </c>
      <c r="HI16" s="75" t="s">
        <v>255</v>
      </c>
      <c r="HJ16" s="75" t="s">
        <v>255</v>
      </c>
      <c r="HK16" s="75" t="s">
        <v>255</v>
      </c>
      <c r="HL16" s="75" t="s">
        <v>255</v>
      </c>
      <c r="HM16" s="75"/>
      <c r="HN16" s="75" t="s">
        <v>255</v>
      </c>
      <c r="HO16" s="75" t="s">
        <v>255</v>
      </c>
      <c r="HP16" s="75" t="s">
        <v>255</v>
      </c>
      <c r="HQ16" s="75" t="s">
        <v>255</v>
      </c>
      <c r="HR16" s="75" t="s">
        <v>255</v>
      </c>
      <c r="HS16" s="75" t="s">
        <v>255</v>
      </c>
      <c r="HT16" s="75"/>
      <c r="HU16" s="75" t="s">
        <v>255</v>
      </c>
      <c r="HV16" s="75" t="s">
        <v>255</v>
      </c>
      <c r="HW16" s="75" t="s">
        <v>255</v>
      </c>
      <c r="HX16" s="75" t="s">
        <v>255</v>
      </c>
      <c r="HY16" s="75" t="s">
        <v>255</v>
      </c>
      <c r="HZ16" s="75" t="s">
        <v>255</v>
      </c>
      <c r="IA16" s="75"/>
      <c r="IB16" s="75" t="s">
        <v>255</v>
      </c>
      <c r="IC16" s="81" t="s">
        <v>255</v>
      </c>
      <c r="ID16" s="81" t="s">
        <v>255</v>
      </c>
      <c r="IE16" s="81" t="s">
        <v>255</v>
      </c>
      <c r="IF16" s="75" t="s">
        <v>255</v>
      </c>
      <c r="IG16" s="75" t="s">
        <v>255</v>
      </c>
      <c r="IH16" s="75"/>
      <c r="II16" s="75" t="s">
        <v>255</v>
      </c>
      <c r="IJ16" s="75" t="s">
        <v>255</v>
      </c>
      <c r="IK16" s="75" t="s">
        <v>255</v>
      </c>
      <c r="IL16" s="75" t="s">
        <v>255</v>
      </c>
      <c r="IM16" s="75" t="s">
        <v>255</v>
      </c>
      <c r="IN16" s="75"/>
      <c r="IO16" s="81" t="s">
        <v>235</v>
      </c>
      <c r="IP16" s="75" t="s">
        <v>250</v>
      </c>
      <c r="IQ16" s="81" t="s">
        <v>235</v>
      </c>
      <c r="IR16" s="81" t="s">
        <v>235</v>
      </c>
      <c r="IS16" s="75" t="s">
        <v>255</v>
      </c>
      <c r="IT16" s="75" t="s">
        <v>255</v>
      </c>
      <c r="IU16" s="81" t="s">
        <v>235</v>
      </c>
      <c r="IV16" s="81"/>
      <c r="IW16" s="75" t="s">
        <v>255</v>
      </c>
      <c r="IX16" s="75" t="s">
        <v>250</v>
      </c>
      <c r="IY16" s="75" t="s">
        <v>255</v>
      </c>
      <c r="IZ16" s="75" t="s">
        <v>255</v>
      </c>
      <c r="JA16" s="75" t="s">
        <v>255</v>
      </c>
      <c r="JB16" s="81"/>
      <c r="JC16" s="75" t="s">
        <v>255</v>
      </c>
      <c r="JD16" s="81" t="s">
        <v>267</v>
      </c>
      <c r="JE16" s="75" t="s">
        <v>255</v>
      </c>
      <c r="JF16" s="81" t="s">
        <v>255</v>
      </c>
      <c r="JG16" s="81" t="s">
        <v>255</v>
      </c>
      <c r="JH16" s="81" t="s">
        <v>255</v>
      </c>
      <c r="JI16" s="81" t="s">
        <v>255</v>
      </c>
      <c r="JJ16" s="75" t="s">
        <v>255</v>
      </c>
      <c r="JK16" s="75" t="s">
        <v>255</v>
      </c>
      <c r="JL16" s="75"/>
      <c r="JM16" s="75" t="s">
        <v>255</v>
      </c>
      <c r="JN16" s="75" t="s">
        <v>255</v>
      </c>
      <c r="JO16" s="75" t="s">
        <v>255</v>
      </c>
      <c r="JP16" s="75"/>
      <c r="JQ16" s="75" t="s">
        <v>255</v>
      </c>
      <c r="JR16" s="75" t="s">
        <v>255</v>
      </c>
      <c r="JS16" s="75" t="s">
        <v>255</v>
      </c>
      <c r="JT16" s="75" t="s">
        <v>255</v>
      </c>
      <c r="JU16" s="75" t="s">
        <v>255</v>
      </c>
      <c r="JV16" s="75" t="s">
        <v>255</v>
      </c>
    </row>
    <row r="17" spans="1:282" x14ac:dyDescent="0.15">
      <c r="A17" s="103" t="s">
        <v>586</v>
      </c>
      <c r="B17" s="6" t="s">
        <v>585</v>
      </c>
      <c r="C17" s="6">
        <v>40000</v>
      </c>
      <c r="D17" s="6">
        <v>16</v>
      </c>
      <c r="E17" s="6">
        <v>6</v>
      </c>
      <c r="F17" s="6">
        <v>3</v>
      </c>
      <c r="G17" s="6" t="s">
        <v>36</v>
      </c>
      <c r="H17" s="6" t="s">
        <v>37</v>
      </c>
      <c r="I17" s="6" t="s">
        <v>38</v>
      </c>
      <c r="J17" s="21"/>
      <c r="K17" s="21">
        <v>1</v>
      </c>
      <c r="L17" s="21">
        <v>2</v>
      </c>
      <c r="M17" s="21">
        <v>2</v>
      </c>
      <c r="N17" s="21">
        <v>0</v>
      </c>
      <c r="O17" s="21">
        <v>0</v>
      </c>
      <c r="P17" s="23" t="str">
        <f>IF(TeamT[[#This Row],[General]]+TeamT[[#This Row],[Agility]]+TeamT[[#This Row],[Strength]]+TeamT[[#This Row],[Passing]]+TeamT[[#This Row],[Mutation]]&gt;0,IF(TeamT[[#This Row],[General]]=1,"G","")&amp;IF(TeamT[[#This Row],[Agility]]=1,"A","")&amp;IF(TeamT[[#This Row],[Strength]]=1,"S","")&amp;IF(TeamT[[#This Row],[Passing]]=1,"P","")&amp;IF(TeamT[[#This Row],[Mutation]]=1,"M",""),"Star")</f>
        <v>G</v>
      </c>
      <c r="Q17" s="23" t="str">
        <f>IF(TeamT[[#This Row],[General]]=2,"G","")&amp;IF(TeamT[[#This Row],[Agility]]=2,"A","")&amp;IF(TeamT[[#This Row],[Strength]]=2,"S","")&amp;IF(TeamT[[#This Row],[Passing]]=2,"P","")&amp;IF(TeamT[[#This Row],[Mutation]]=2,"M","")</f>
        <v>AS</v>
      </c>
      <c r="R17" s="212"/>
      <c r="S17" s="21">
        <v>3</v>
      </c>
      <c r="T17" s="21">
        <v>4</v>
      </c>
      <c r="U17" s="21">
        <v>8</v>
      </c>
      <c r="AA17" s="76" t="e">
        <f>HLOOKUP(Roster!$E$5,Team!$BL$2:$MK$128,16,FALSE)</f>
        <v>#N/A</v>
      </c>
      <c r="AB17" s="76" t="e">
        <f>HLOOKUP(Roster!$E$6,Team!$BL$2:$MK$128,16,FALSE)</f>
        <v>#N/A</v>
      </c>
      <c r="AC17" s="76" t="e">
        <f>HLOOKUP(Roster!$E$7,Team!$BL$2:$MK$128,16,FALSE)</f>
        <v>#N/A</v>
      </c>
      <c r="AD17" s="76" t="e">
        <f>HLOOKUP(Roster!$E$8,Team!$BL$2:$MK$128,16,FALSE)</f>
        <v>#N/A</v>
      </c>
      <c r="AE17" s="76" t="e">
        <f>HLOOKUP(Roster!$E$9,Team!$BL$2:$MK$128,16,FALSE)</f>
        <v>#N/A</v>
      </c>
      <c r="AF17" s="76" t="e">
        <f>HLOOKUP(Roster!$E$10,Team!$BL$2:$MK$128,16,FALSE)</f>
        <v>#N/A</v>
      </c>
      <c r="AG17" s="76" t="e">
        <f>HLOOKUP(Roster!$E$11,Team!$BL$2:$MK$128,16,FALSE)</f>
        <v>#N/A</v>
      </c>
      <c r="AH17" s="76" t="e">
        <f>HLOOKUP(Roster!$E$12,Team!$BL$2:$MK$128,16,FALSE)</f>
        <v>#N/A</v>
      </c>
      <c r="AI17" s="76" t="e">
        <f>HLOOKUP(Roster!$E$13,Team!$BL$2:$MK$128,16,FALSE)</f>
        <v>#N/A</v>
      </c>
      <c r="AJ17" s="76" t="e">
        <f>HLOOKUP(Roster!$E$14,Team!$BL$2:$MK$128,16,FALSE)</f>
        <v>#N/A</v>
      </c>
      <c r="AK17" s="76" t="e">
        <f>HLOOKUP(Roster!$E$15,Team!$BL$2:$MK$128,16,FALSE)</f>
        <v>#N/A</v>
      </c>
      <c r="AL17" s="76" t="e">
        <f>HLOOKUP(Roster!$E$16,Team!$BL$2:$MK$128,16,FALSE)</f>
        <v>#N/A</v>
      </c>
      <c r="AM17" s="76" t="e">
        <f>HLOOKUP(Roster!$E$17,Team!$BL$2:$MK$128,16,FALSE)</f>
        <v>#N/A</v>
      </c>
      <c r="AN17" s="76" t="e">
        <f>HLOOKUP(Roster!$E$18,Team!$BL$2:$MK$128,16,FALSE)</f>
        <v>#N/A</v>
      </c>
      <c r="AO17" s="76" t="e">
        <f>HLOOKUP(Roster!$E$19,Team!$BL$2:$MK$128,16,FALSE)</f>
        <v>#N/A</v>
      </c>
      <c r="AP17" s="76" t="e">
        <f>HLOOKUP(Roster!$E$20,Team!$BL$2:$MK$128,16,FALSE)</f>
        <v>#N/A</v>
      </c>
      <c r="AR17" s="108">
        <f t="shared" si="1"/>
        <v>0</v>
      </c>
      <c r="AS17" s="108">
        <f t="shared" si="2"/>
        <v>0</v>
      </c>
      <c r="AT17" s="108">
        <f t="shared" si="3"/>
        <v>0</v>
      </c>
      <c r="AU17" s="108">
        <f t="shared" si="4"/>
        <v>0</v>
      </c>
      <c r="AV17" s="108">
        <f t="shared" si="5"/>
        <v>0</v>
      </c>
      <c r="AW17" s="108">
        <f t="shared" si="6"/>
        <v>0</v>
      </c>
      <c r="AX17" s="108">
        <f t="shared" si="7"/>
        <v>0</v>
      </c>
      <c r="AY17" s="108">
        <f t="shared" si="8"/>
        <v>0</v>
      </c>
      <c r="AZ17" s="108">
        <f t="shared" si="9"/>
        <v>0</v>
      </c>
      <c r="BA17" s="108">
        <f t="shared" si="10"/>
        <v>0</v>
      </c>
      <c r="BB17" s="108">
        <f t="shared" si="11"/>
        <v>0</v>
      </c>
      <c r="BC17" s="108">
        <f t="shared" si="12"/>
        <v>0</v>
      </c>
      <c r="BD17" s="108">
        <f t="shared" si="13"/>
        <v>0</v>
      </c>
      <c r="BE17" s="108">
        <f t="shared" si="14"/>
        <v>0</v>
      </c>
      <c r="BF17" s="108">
        <f t="shared" si="15"/>
        <v>0</v>
      </c>
      <c r="BG17" s="108">
        <f t="shared" si="16"/>
        <v>0</v>
      </c>
      <c r="BL17" s="74" t="s">
        <v>277</v>
      </c>
      <c r="BM17" s="74" t="s">
        <v>277</v>
      </c>
      <c r="BN17" s="74" t="s">
        <v>277</v>
      </c>
      <c r="BO17" s="74" t="s">
        <v>277</v>
      </c>
      <c r="BP17" s="74" t="s">
        <v>277</v>
      </c>
      <c r="BQ17" s="74"/>
      <c r="BR17" s="74" t="s">
        <v>277</v>
      </c>
      <c r="BS17" s="74" t="s">
        <v>277</v>
      </c>
      <c r="BT17" s="74" t="s">
        <v>277</v>
      </c>
      <c r="BU17" s="74" t="s">
        <v>277</v>
      </c>
      <c r="BV17" s="74"/>
      <c r="BW17" s="80" t="s">
        <v>277</v>
      </c>
      <c r="BX17" s="74" t="s">
        <v>277</v>
      </c>
      <c r="BY17" s="74" t="s">
        <v>277</v>
      </c>
      <c r="BZ17" s="74" t="s">
        <v>277</v>
      </c>
      <c r="CA17" s="74" t="s">
        <v>277</v>
      </c>
      <c r="CB17" s="80" t="s">
        <v>277</v>
      </c>
      <c r="CC17" s="77"/>
      <c r="CD17" s="74" t="s">
        <v>277</v>
      </c>
      <c r="CE17" s="74" t="s">
        <v>277</v>
      </c>
      <c r="CF17" s="74" t="s">
        <v>277</v>
      </c>
      <c r="CG17" s="74" t="s">
        <v>277</v>
      </c>
      <c r="CH17" s="74" t="s">
        <v>277</v>
      </c>
      <c r="CI17" s="77"/>
      <c r="CJ17" s="74" t="s">
        <v>277</v>
      </c>
      <c r="CK17" s="80" t="s">
        <v>277</v>
      </c>
      <c r="CL17" s="80" t="s">
        <v>271</v>
      </c>
      <c r="CM17" s="74" t="s">
        <v>277</v>
      </c>
      <c r="CN17" s="74" t="s">
        <v>277</v>
      </c>
      <c r="CO17" s="80" t="s">
        <v>277</v>
      </c>
      <c r="CP17" s="74" t="s">
        <v>277</v>
      </c>
      <c r="CQ17" s="74" t="s">
        <v>277</v>
      </c>
      <c r="CR17" s="74" t="s">
        <v>277</v>
      </c>
      <c r="CS17" s="74" t="s">
        <v>277</v>
      </c>
      <c r="CT17" s="74" t="s">
        <v>277</v>
      </c>
      <c r="CU17" s="74"/>
      <c r="CV17" s="74" t="s">
        <v>277</v>
      </c>
      <c r="CW17" s="74" t="s">
        <v>277</v>
      </c>
      <c r="CX17" s="74" t="s">
        <v>277</v>
      </c>
      <c r="CY17" s="74" t="s">
        <v>277</v>
      </c>
      <c r="CZ17" s="74" t="s">
        <v>277</v>
      </c>
      <c r="DA17" s="74"/>
      <c r="DB17" s="74" t="s">
        <v>277</v>
      </c>
      <c r="DC17" s="74" t="s">
        <v>277</v>
      </c>
      <c r="DD17" s="74" t="s">
        <v>277</v>
      </c>
      <c r="DE17" s="74" t="s">
        <v>277</v>
      </c>
      <c r="DF17" s="74" t="s">
        <v>277</v>
      </c>
      <c r="DG17" s="74" t="s">
        <v>277</v>
      </c>
      <c r="DH17" s="74"/>
      <c r="DI17" s="74" t="s">
        <v>277</v>
      </c>
      <c r="DJ17" s="74" t="s">
        <v>277</v>
      </c>
      <c r="DK17" s="74" t="s">
        <v>277</v>
      </c>
      <c r="DL17" s="74" t="s">
        <v>277</v>
      </c>
      <c r="DM17" s="74" t="s">
        <v>277</v>
      </c>
      <c r="DN17" s="74" t="s">
        <v>277</v>
      </c>
      <c r="DO17" s="74"/>
      <c r="DP17" s="74" t="s">
        <v>277</v>
      </c>
      <c r="DQ17" s="74" t="s">
        <v>277</v>
      </c>
      <c r="DR17" s="74" t="s">
        <v>277</v>
      </c>
      <c r="DS17" s="74" t="s">
        <v>277</v>
      </c>
      <c r="DT17" s="74" t="s">
        <v>277</v>
      </c>
      <c r="DU17" s="74"/>
      <c r="DV17" s="74" t="s">
        <v>277</v>
      </c>
      <c r="DW17" s="74" t="s">
        <v>277</v>
      </c>
      <c r="DX17" s="74" t="s">
        <v>277</v>
      </c>
      <c r="DY17" s="74" t="s">
        <v>277</v>
      </c>
      <c r="DZ17" s="74" t="s">
        <v>277</v>
      </c>
      <c r="EA17" s="74" t="s">
        <v>277</v>
      </c>
      <c r="EB17" s="74" t="s">
        <v>277</v>
      </c>
      <c r="EC17" s="74" t="s">
        <v>277</v>
      </c>
      <c r="ED17" s="74" t="s">
        <v>277</v>
      </c>
      <c r="EE17" s="74"/>
      <c r="EF17" s="74" t="s">
        <v>277</v>
      </c>
      <c r="EG17" s="74" t="s">
        <v>277</v>
      </c>
      <c r="EH17" s="74" t="s">
        <v>277</v>
      </c>
      <c r="EI17" s="74" t="s">
        <v>277</v>
      </c>
      <c r="EJ17" s="74" t="s">
        <v>277</v>
      </c>
      <c r="EK17" s="74"/>
      <c r="EL17" s="74" t="s">
        <v>277</v>
      </c>
      <c r="EM17" s="74" t="s">
        <v>277</v>
      </c>
      <c r="EN17" s="74" t="s">
        <v>277</v>
      </c>
      <c r="EO17" s="74" t="s">
        <v>277</v>
      </c>
      <c r="EP17" s="74" t="s">
        <v>277</v>
      </c>
      <c r="EQ17" s="74"/>
      <c r="ER17" s="74" t="s">
        <v>277</v>
      </c>
      <c r="ES17" s="74" t="s">
        <v>277</v>
      </c>
      <c r="ET17" s="74" t="s">
        <v>277</v>
      </c>
      <c r="EU17" s="74" t="s">
        <v>277</v>
      </c>
      <c r="EV17" s="74" t="s">
        <v>277</v>
      </c>
      <c r="EW17" s="74" t="s">
        <v>277</v>
      </c>
      <c r="EX17" s="74" t="s">
        <v>277</v>
      </c>
      <c r="EY17" s="74"/>
      <c r="EZ17" s="74" t="s">
        <v>277</v>
      </c>
      <c r="FA17" s="74" t="s">
        <v>277</v>
      </c>
      <c r="FB17" s="74" t="s">
        <v>277</v>
      </c>
      <c r="FC17" s="74" t="s">
        <v>277</v>
      </c>
      <c r="FD17" s="74" t="s">
        <v>277</v>
      </c>
      <c r="FE17" s="74" t="s">
        <v>277</v>
      </c>
      <c r="FF17" s="74"/>
      <c r="FG17" s="74" t="s">
        <v>277</v>
      </c>
      <c r="FH17" s="80" t="s">
        <v>277</v>
      </c>
      <c r="FI17" s="74" t="s">
        <v>277</v>
      </c>
      <c r="FJ17" s="74" t="s">
        <v>277</v>
      </c>
      <c r="FK17" s="74" t="s">
        <v>277</v>
      </c>
      <c r="FL17" s="74"/>
      <c r="FM17" s="74" t="s">
        <v>277</v>
      </c>
      <c r="FN17" s="74" t="s">
        <v>277</v>
      </c>
      <c r="FO17" s="74" t="s">
        <v>277</v>
      </c>
      <c r="FP17" s="74" t="s">
        <v>277</v>
      </c>
      <c r="FQ17" s="74" t="s">
        <v>277</v>
      </c>
      <c r="FR17" s="74"/>
      <c r="FS17" s="74" t="s">
        <v>277</v>
      </c>
      <c r="FT17" s="74" t="s">
        <v>277</v>
      </c>
      <c r="FU17" s="74" t="s">
        <v>277</v>
      </c>
      <c r="FV17" s="74" t="s">
        <v>277</v>
      </c>
      <c r="FW17" s="74" t="s">
        <v>277</v>
      </c>
      <c r="FX17" s="74" t="s">
        <v>277</v>
      </c>
      <c r="FY17" s="74"/>
      <c r="FZ17" s="74" t="s">
        <v>277</v>
      </c>
      <c r="GA17" s="81" t="s">
        <v>229</v>
      </c>
      <c r="GB17" s="74" t="s">
        <v>277</v>
      </c>
      <c r="GC17" s="74" t="s">
        <v>277</v>
      </c>
      <c r="GD17" s="74" t="s">
        <v>277</v>
      </c>
      <c r="GE17" s="74" t="s">
        <v>277</v>
      </c>
      <c r="GF17" s="74" t="s">
        <v>277</v>
      </c>
      <c r="GG17" s="74"/>
      <c r="GH17" s="74" t="s">
        <v>277</v>
      </c>
      <c r="GI17" s="80" t="s">
        <v>277</v>
      </c>
      <c r="GJ17" s="74" t="s">
        <v>277</v>
      </c>
      <c r="GK17" s="74" t="s">
        <v>277</v>
      </c>
      <c r="GL17" s="74" t="s">
        <v>277</v>
      </c>
      <c r="GM17" s="74"/>
      <c r="GN17" s="81" t="s">
        <v>236</v>
      </c>
      <c r="GO17" s="74" t="s">
        <v>277</v>
      </c>
      <c r="GP17" s="74" t="s">
        <v>277</v>
      </c>
      <c r="GQ17" s="81" t="s">
        <v>236</v>
      </c>
      <c r="GR17" s="81"/>
      <c r="GS17" s="74" t="s">
        <v>277</v>
      </c>
      <c r="GT17" s="74" t="s">
        <v>277</v>
      </c>
      <c r="GU17" s="74" t="s">
        <v>277</v>
      </c>
      <c r="GV17" s="74" t="s">
        <v>277</v>
      </c>
      <c r="GW17" s="74" t="s">
        <v>277</v>
      </c>
      <c r="GX17" s="74" t="s">
        <v>277</v>
      </c>
      <c r="GY17" s="74" t="s">
        <v>277</v>
      </c>
      <c r="GZ17" s="74" t="s">
        <v>277</v>
      </c>
      <c r="HA17" s="74" t="s">
        <v>277</v>
      </c>
      <c r="HB17" s="74" t="s">
        <v>277</v>
      </c>
      <c r="HC17" s="74" t="s">
        <v>277</v>
      </c>
      <c r="HD17" s="74" t="s">
        <v>277</v>
      </c>
      <c r="HE17" s="74"/>
      <c r="HF17" s="74" t="s">
        <v>277</v>
      </c>
      <c r="HG17" s="74" t="s">
        <v>277</v>
      </c>
      <c r="HH17" s="74" t="s">
        <v>277</v>
      </c>
      <c r="HI17" s="74" t="s">
        <v>277</v>
      </c>
      <c r="HJ17" s="74" t="s">
        <v>277</v>
      </c>
      <c r="HK17" s="74" t="s">
        <v>277</v>
      </c>
      <c r="HL17" s="74" t="s">
        <v>277</v>
      </c>
      <c r="HM17" s="74"/>
      <c r="HN17" s="74" t="s">
        <v>277</v>
      </c>
      <c r="HO17" s="74" t="s">
        <v>277</v>
      </c>
      <c r="HP17" s="74" t="s">
        <v>277</v>
      </c>
      <c r="HQ17" s="74" t="s">
        <v>277</v>
      </c>
      <c r="HR17" s="74" t="s">
        <v>277</v>
      </c>
      <c r="HS17" s="74" t="s">
        <v>277</v>
      </c>
      <c r="HT17" s="74"/>
      <c r="HU17" s="74" t="s">
        <v>277</v>
      </c>
      <c r="HV17" s="74" t="s">
        <v>277</v>
      </c>
      <c r="HW17" s="74" t="s">
        <v>277</v>
      </c>
      <c r="HX17" s="74" t="s">
        <v>277</v>
      </c>
      <c r="HY17" s="74" t="s">
        <v>277</v>
      </c>
      <c r="HZ17" s="74" t="s">
        <v>277</v>
      </c>
      <c r="IA17" s="74"/>
      <c r="IB17" s="74" t="s">
        <v>277</v>
      </c>
      <c r="IC17" s="80" t="s">
        <v>277</v>
      </c>
      <c r="ID17" s="80" t="s">
        <v>277</v>
      </c>
      <c r="IE17" s="80" t="s">
        <v>277</v>
      </c>
      <c r="IF17" s="74" t="s">
        <v>277</v>
      </c>
      <c r="IG17" s="74" t="s">
        <v>277</v>
      </c>
      <c r="IH17" s="74"/>
      <c r="II17" s="74" t="s">
        <v>277</v>
      </c>
      <c r="IJ17" s="74" t="s">
        <v>277</v>
      </c>
      <c r="IK17" s="74" t="s">
        <v>277</v>
      </c>
      <c r="IL17" s="74" t="s">
        <v>277</v>
      </c>
      <c r="IM17" s="74" t="s">
        <v>277</v>
      </c>
      <c r="IN17" s="74"/>
      <c r="IO17" s="81" t="s">
        <v>236</v>
      </c>
      <c r="IP17" s="74" t="s">
        <v>271</v>
      </c>
      <c r="IQ17" s="81" t="s">
        <v>236</v>
      </c>
      <c r="IR17" s="81" t="s">
        <v>236</v>
      </c>
      <c r="IS17" s="74" t="s">
        <v>277</v>
      </c>
      <c r="IT17" s="74" t="s">
        <v>277</v>
      </c>
      <c r="IU17" s="81" t="s">
        <v>236</v>
      </c>
      <c r="IV17" s="81"/>
      <c r="IW17" s="74" t="s">
        <v>277</v>
      </c>
      <c r="IX17" s="74" t="s">
        <v>271</v>
      </c>
      <c r="IY17" s="74" t="s">
        <v>277</v>
      </c>
      <c r="IZ17" s="74" t="s">
        <v>277</v>
      </c>
      <c r="JA17" s="74" t="s">
        <v>277</v>
      </c>
      <c r="JB17" s="81"/>
      <c r="JC17" s="74" t="s">
        <v>277</v>
      </c>
      <c r="JD17" s="81" t="s">
        <v>243</v>
      </c>
      <c r="JE17" s="74" t="s">
        <v>277</v>
      </c>
      <c r="JF17" s="80" t="s">
        <v>277</v>
      </c>
      <c r="JG17" s="80" t="s">
        <v>277</v>
      </c>
      <c r="JH17" s="80" t="s">
        <v>277</v>
      </c>
      <c r="JI17" s="80" t="s">
        <v>277</v>
      </c>
      <c r="JJ17" s="74" t="s">
        <v>277</v>
      </c>
      <c r="JK17" s="74" t="s">
        <v>277</v>
      </c>
      <c r="JL17" s="74"/>
      <c r="JM17" s="74" t="s">
        <v>277</v>
      </c>
      <c r="JN17" s="74" t="s">
        <v>277</v>
      </c>
      <c r="JO17" s="74" t="s">
        <v>277</v>
      </c>
      <c r="JP17" s="74"/>
      <c r="JQ17" s="74" t="s">
        <v>277</v>
      </c>
      <c r="JR17" s="74" t="s">
        <v>277</v>
      </c>
      <c r="JS17" s="74" t="s">
        <v>277</v>
      </c>
      <c r="JT17" s="74" t="s">
        <v>277</v>
      </c>
      <c r="JU17" s="74" t="s">
        <v>277</v>
      </c>
      <c r="JV17" s="74" t="s">
        <v>277</v>
      </c>
    </row>
    <row r="18" spans="1:282" x14ac:dyDescent="0.15">
      <c r="A18" s="103" t="s">
        <v>587</v>
      </c>
      <c r="B18" s="6" t="s">
        <v>585</v>
      </c>
      <c r="C18" s="6">
        <v>70000</v>
      </c>
      <c r="D18" s="6">
        <v>6</v>
      </c>
      <c r="E18" s="6">
        <v>4</v>
      </c>
      <c r="F18" s="6">
        <v>3</v>
      </c>
      <c r="G18" s="6" t="s">
        <v>37</v>
      </c>
      <c r="H18" s="6" t="s">
        <v>96</v>
      </c>
      <c r="I18" s="6" t="s">
        <v>41</v>
      </c>
      <c r="J18" s="21" t="s">
        <v>74</v>
      </c>
      <c r="K18" s="21">
        <v>1</v>
      </c>
      <c r="L18" s="21">
        <v>2</v>
      </c>
      <c r="M18" s="21">
        <v>1</v>
      </c>
      <c r="N18" s="21">
        <v>0</v>
      </c>
      <c r="O18" s="21">
        <v>2</v>
      </c>
      <c r="P18" s="23" t="str">
        <f>IF(TeamT[[#This Row],[General]]+TeamT[[#This Row],[Agility]]+TeamT[[#This Row],[Strength]]+TeamT[[#This Row],[Passing]]+TeamT[[#This Row],[Mutation]]&gt;0,IF(TeamT[[#This Row],[General]]=1,"G","")&amp;IF(TeamT[[#This Row],[Agility]]=1,"A","")&amp;IF(TeamT[[#This Row],[Strength]]=1,"S","")&amp;IF(TeamT[[#This Row],[Passing]]=1,"P","")&amp;IF(TeamT[[#This Row],[Mutation]]=1,"M",""),"Star")</f>
        <v>GS</v>
      </c>
      <c r="Q18" s="23" t="str">
        <f>IF(TeamT[[#This Row],[General]]=2,"G","")&amp;IF(TeamT[[#This Row],[Agility]]=2,"A","")&amp;IF(TeamT[[#This Row],[Strength]]=2,"S","")&amp;IF(TeamT[[#This Row],[Passing]]=2,"P","")&amp;IF(TeamT[[#This Row],[Mutation]]=2,"M","")</f>
        <v>AM</v>
      </c>
      <c r="R18" s="212"/>
      <c r="S18" s="21">
        <v>4</v>
      </c>
      <c r="T18" s="21">
        <v>6</v>
      </c>
      <c r="U18" s="21">
        <v>10</v>
      </c>
      <c r="AA18" s="76" t="e">
        <f>HLOOKUP(Roster!$E$5,Team!$BL$2:$MK$128,17,FALSE)</f>
        <v>#N/A</v>
      </c>
      <c r="AB18" s="76" t="e">
        <f>HLOOKUP(Roster!$E$6,Team!$BL$2:$MK$128,17,FALSE)</f>
        <v>#N/A</v>
      </c>
      <c r="AC18" s="76" t="e">
        <f>HLOOKUP(Roster!$E$7,Team!$BL$2:$MK$128,17,FALSE)</f>
        <v>#N/A</v>
      </c>
      <c r="AD18" s="76" t="e">
        <f>HLOOKUP(Roster!$E$8,Team!$BL$2:$MK$128,17,FALSE)</f>
        <v>#N/A</v>
      </c>
      <c r="AE18" s="76" t="e">
        <f>HLOOKUP(Roster!$E$9,Team!$BL$2:$MK$128,17,FALSE)</f>
        <v>#N/A</v>
      </c>
      <c r="AF18" s="76" t="e">
        <f>HLOOKUP(Roster!$E$10,Team!$BL$2:$MK$128,17,FALSE)</f>
        <v>#N/A</v>
      </c>
      <c r="AG18" s="76" t="e">
        <f>HLOOKUP(Roster!$E$11,Team!$BL$2:$MK$128,17,FALSE)</f>
        <v>#N/A</v>
      </c>
      <c r="AH18" s="76" t="e">
        <f>HLOOKUP(Roster!$E$12,Team!$BL$2:$MK$128,17,FALSE)</f>
        <v>#N/A</v>
      </c>
      <c r="AI18" s="76" t="e">
        <f>HLOOKUP(Roster!$E$13,Team!$BL$2:$MK$128,17,FALSE)</f>
        <v>#N/A</v>
      </c>
      <c r="AJ18" s="76" t="e">
        <f>HLOOKUP(Roster!$E$14,Team!$BL$2:$MK$128,17,FALSE)</f>
        <v>#N/A</v>
      </c>
      <c r="AK18" s="76" t="e">
        <f>HLOOKUP(Roster!$E$15,Team!$BL$2:$MK$128,17,FALSE)</f>
        <v>#N/A</v>
      </c>
      <c r="AL18" s="76" t="e">
        <f>HLOOKUP(Roster!$E$16,Team!$BL$2:$MK$128,17,FALSE)</f>
        <v>#N/A</v>
      </c>
      <c r="AM18" s="76" t="e">
        <f>HLOOKUP(Roster!$E$17,Team!$BL$2:$MK$128,17,FALSE)</f>
        <v>#N/A</v>
      </c>
      <c r="AN18" s="76" t="e">
        <f>HLOOKUP(Roster!$E$18,Team!$BL$2:$MK$128,17,FALSE)</f>
        <v>#N/A</v>
      </c>
      <c r="AO18" s="76" t="e">
        <f>HLOOKUP(Roster!$E$19,Team!$BL$2:$MK$128,17,FALSE)</f>
        <v>#N/A</v>
      </c>
      <c r="AP18" s="76" t="e">
        <f>HLOOKUP(Roster!$E$20,Team!$BL$2:$MK$128,17,FALSE)</f>
        <v>#N/A</v>
      </c>
      <c r="AR18" s="108">
        <f t="shared" si="1"/>
        <v>0</v>
      </c>
      <c r="AS18" s="108">
        <f t="shared" si="2"/>
        <v>0</v>
      </c>
      <c r="AT18" s="108">
        <f t="shared" si="3"/>
        <v>0</v>
      </c>
      <c r="AU18" s="108">
        <f t="shared" si="4"/>
        <v>0</v>
      </c>
      <c r="AV18" s="108">
        <f t="shared" si="5"/>
        <v>0</v>
      </c>
      <c r="AW18" s="108">
        <f t="shared" si="6"/>
        <v>0</v>
      </c>
      <c r="AX18" s="108">
        <f t="shared" si="7"/>
        <v>0</v>
      </c>
      <c r="AY18" s="108">
        <f t="shared" si="8"/>
        <v>0</v>
      </c>
      <c r="AZ18" s="108">
        <f t="shared" si="9"/>
        <v>0</v>
      </c>
      <c r="BA18" s="108">
        <f t="shared" si="10"/>
        <v>0</v>
      </c>
      <c r="BB18" s="108">
        <f t="shared" si="11"/>
        <v>0</v>
      </c>
      <c r="BC18" s="108">
        <f t="shared" si="12"/>
        <v>0</v>
      </c>
      <c r="BD18" s="108">
        <f t="shared" si="13"/>
        <v>0</v>
      </c>
      <c r="BE18" s="108">
        <f t="shared" si="14"/>
        <v>0</v>
      </c>
      <c r="BF18" s="108">
        <f t="shared" si="15"/>
        <v>0</v>
      </c>
      <c r="BG18" s="108">
        <f t="shared" si="16"/>
        <v>0</v>
      </c>
      <c r="BL18" s="75" t="s">
        <v>256</v>
      </c>
      <c r="BM18" s="75" t="s">
        <v>256</v>
      </c>
      <c r="BN18" s="75" t="s">
        <v>256</v>
      </c>
      <c r="BO18" s="75" t="s">
        <v>256</v>
      </c>
      <c r="BP18" s="75" t="s">
        <v>256</v>
      </c>
      <c r="BQ18" s="75"/>
      <c r="BR18" s="75" t="s">
        <v>256</v>
      </c>
      <c r="BS18" s="75" t="s">
        <v>256</v>
      </c>
      <c r="BT18" s="75" t="s">
        <v>256</v>
      </c>
      <c r="BU18" s="75" t="s">
        <v>256</v>
      </c>
      <c r="BV18" s="75"/>
      <c r="BW18" s="81" t="s">
        <v>256</v>
      </c>
      <c r="BX18" s="75" t="s">
        <v>256</v>
      </c>
      <c r="BY18" s="75" t="s">
        <v>256</v>
      </c>
      <c r="BZ18" s="75" t="s">
        <v>256</v>
      </c>
      <c r="CA18" s="75" t="s">
        <v>256</v>
      </c>
      <c r="CB18" s="81" t="s">
        <v>256</v>
      </c>
      <c r="CC18" s="77"/>
      <c r="CD18" s="75" t="s">
        <v>256</v>
      </c>
      <c r="CE18" s="75" t="s">
        <v>256</v>
      </c>
      <c r="CF18" s="75" t="s">
        <v>256</v>
      </c>
      <c r="CG18" s="75" t="s">
        <v>256</v>
      </c>
      <c r="CH18" s="75" t="s">
        <v>256</v>
      </c>
      <c r="CI18" s="77"/>
      <c r="CJ18" s="75" t="s">
        <v>256</v>
      </c>
      <c r="CK18" s="81" t="s">
        <v>256</v>
      </c>
      <c r="CL18" s="81" t="s">
        <v>6</v>
      </c>
      <c r="CM18" s="75" t="s">
        <v>256</v>
      </c>
      <c r="CN18" s="75" t="s">
        <v>256</v>
      </c>
      <c r="CO18" s="81" t="s">
        <v>256</v>
      </c>
      <c r="CP18" s="75" t="s">
        <v>256</v>
      </c>
      <c r="CQ18" s="75" t="s">
        <v>256</v>
      </c>
      <c r="CR18" s="75" t="s">
        <v>256</v>
      </c>
      <c r="CS18" s="75" t="s">
        <v>256</v>
      </c>
      <c r="CT18" s="75" t="s">
        <v>256</v>
      </c>
      <c r="CU18" s="75"/>
      <c r="CV18" s="75" t="s">
        <v>256</v>
      </c>
      <c r="CW18" s="75" t="s">
        <v>256</v>
      </c>
      <c r="CX18" s="75" t="s">
        <v>256</v>
      </c>
      <c r="CY18" s="75" t="s">
        <v>256</v>
      </c>
      <c r="CZ18" s="75" t="s">
        <v>256</v>
      </c>
      <c r="DA18" s="75"/>
      <c r="DB18" s="75" t="s">
        <v>256</v>
      </c>
      <c r="DC18" s="75" t="s">
        <v>256</v>
      </c>
      <c r="DD18" s="75" t="s">
        <v>256</v>
      </c>
      <c r="DE18" s="75" t="s">
        <v>256</v>
      </c>
      <c r="DF18" s="75" t="s">
        <v>256</v>
      </c>
      <c r="DG18" s="75" t="s">
        <v>256</v>
      </c>
      <c r="DH18" s="75"/>
      <c r="DI18" s="75" t="s">
        <v>256</v>
      </c>
      <c r="DJ18" s="75" t="s">
        <v>256</v>
      </c>
      <c r="DK18" s="75" t="s">
        <v>256</v>
      </c>
      <c r="DL18" s="75" t="s">
        <v>256</v>
      </c>
      <c r="DM18" s="75" t="s">
        <v>256</v>
      </c>
      <c r="DN18" s="75" t="s">
        <v>256</v>
      </c>
      <c r="DO18" s="75"/>
      <c r="DP18" s="75" t="s">
        <v>256</v>
      </c>
      <c r="DQ18" s="75" t="s">
        <v>256</v>
      </c>
      <c r="DR18" s="75" t="s">
        <v>256</v>
      </c>
      <c r="DS18" s="75" t="s">
        <v>256</v>
      </c>
      <c r="DT18" s="75" t="s">
        <v>256</v>
      </c>
      <c r="DU18" s="75"/>
      <c r="DV18" s="75" t="s">
        <v>256</v>
      </c>
      <c r="DW18" s="75" t="s">
        <v>256</v>
      </c>
      <c r="DX18" s="75" t="s">
        <v>256</v>
      </c>
      <c r="DY18" s="75" t="s">
        <v>256</v>
      </c>
      <c r="DZ18" s="75" t="s">
        <v>256</v>
      </c>
      <c r="EA18" s="75" t="s">
        <v>256</v>
      </c>
      <c r="EB18" s="75" t="s">
        <v>256</v>
      </c>
      <c r="EC18" s="75" t="s">
        <v>256</v>
      </c>
      <c r="ED18" s="75" t="s">
        <v>256</v>
      </c>
      <c r="EE18" s="75"/>
      <c r="EF18" s="75" t="s">
        <v>256</v>
      </c>
      <c r="EG18" s="75" t="s">
        <v>256</v>
      </c>
      <c r="EH18" s="75" t="s">
        <v>256</v>
      </c>
      <c r="EI18" s="75" t="s">
        <v>256</v>
      </c>
      <c r="EJ18" s="75" t="s">
        <v>256</v>
      </c>
      <c r="EK18" s="75"/>
      <c r="EL18" s="75" t="s">
        <v>256</v>
      </c>
      <c r="EM18" s="75" t="s">
        <v>256</v>
      </c>
      <c r="EN18" s="75" t="s">
        <v>256</v>
      </c>
      <c r="EO18" s="75" t="s">
        <v>256</v>
      </c>
      <c r="EP18" s="75" t="s">
        <v>256</v>
      </c>
      <c r="EQ18" s="75"/>
      <c r="ER18" s="75" t="s">
        <v>256</v>
      </c>
      <c r="ES18" s="75" t="s">
        <v>256</v>
      </c>
      <c r="ET18" s="75" t="s">
        <v>256</v>
      </c>
      <c r="EU18" s="75" t="s">
        <v>256</v>
      </c>
      <c r="EV18" s="75" t="s">
        <v>256</v>
      </c>
      <c r="EW18" s="75" t="s">
        <v>256</v>
      </c>
      <c r="EX18" s="75" t="s">
        <v>256</v>
      </c>
      <c r="EY18" s="75"/>
      <c r="EZ18" s="75" t="s">
        <v>256</v>
      </c>
      <c r="FA18" s="75" t="s">
        <v>256</v>
      </c>
      <c r="FB18" s="75" t="s">
        <v>256</v>
      </c>
      <c r="FC18" s="75" t="s">
        <v>256</v>
      </c>
      <c r="FD18" s="75" t="s">
        <v>256</v>
      </c>
      <c r="FE18" s="75" t="s">
        <v>256</v>
      </c>
      <c r="FF18" s="75"/>
      <c r="FG18" s="75" t="s">
        <v>256</v>
      </c>
      <c r="FH18" s="81" t="s">
        <v>256</v>
      </c>
      <c r="FI18" s="75" t="s">
        <v>256</v>
      </c>
      <c r="FJ18" s="75" t="s">
        <v>256</v>
      </c>
      <c r="FK18" s="75" t="s">
        <v>256</v>
      </c>
      <c r="FL18" s="75"/>
      <c r="FM18" s="75" t="s">
        <v>256</v>
      </c>
      <c r="FN18" s="75" t="s">
        <v>256</v>
      </c>
      <c r="FO18" s="75" t="s">
        <v>256</v>
      </c>
      <c r="FP18" s="75" t="s">
        <v>256</v>
      </c>
      <c r="FQ18" s="75" t="s">
        <v>256</v>
      </c>
      <c r="FR18" s="75"/>
      <c r="FS18" s="75" t="s">
        <v>256</v>
      </c>
      <c r="FT18" s="75" t="s">
        <v>256</v>
      </c>
      <c r="FU18" s="75" t="s">
        <v>256</v>
      </c>
      <c r="FV18" s="75" t="s">
        <v>256</v>
      </c>
      <c r="FW18" s="75" t="s">
        <v>256</v>
      </c>
      <c r="FX18" s="75" t="s">
        <v>256</v>
      </c>
      <c r="FY18" s="75"/>
      <c r="FZ18" s="75" t="s">
        <v>256</v>
      </c>
      <c r="GA18" s="80" t="s">
        <v>261</v>
      </c>
      <c r="GB18" s="75" t="s">
        <v>256</v>
      </c>
      <c r="GC18" s="75" t="s">
        <v>256</v>
      </c>
      <c r="GD18" s="75" t="s">
        <v>256</v>
      </c>
      <c r="GE18" s="75" t="s">
        <v>256</v>
      </c>
      <c r="GF18" s="75" t="s">
        <v>256</v>
      </c>
      <c r="GG18" s="75"/>
      <c r="GH18" s="75" t="s">
        <v>256</v>
      </c>
      <c r="GI18" s="81" t="s">
        <v>256</v>
      </c>
      <c r="GJ18" s="75" t="s">
        <v>256</v>
      </c>
      <c r="GK18" s="75" t="s">
        <v>256</v>
      </c>
      <c r="GL18" s="75" t="s">
        <v>256</v>
      </c>
      <c r="GM18" s="75"/>
      <c r="GN18" s="81" t="s">
        <v>237</v>
      </c>
      <c r="GO18" s="75" t="s">
        <v>256</v>
      </c>
      <c r="GP18" s="75" t="s">
        <v>256</v>
      </c>
      <c r="GQ18" s="81" t="s">
        <v>237</v>
      </c>
      <c r="GR18" s="81"/>
      <c r="GS18" s="75" t="s">
        <v>256</v>
      </c>
      <c r="GT18" s="75" t="s">
        <v>256</v>
      </c>
      <c r="GU18" s="75" t="s">
        <v>256</v>
      </c>
      <c r="GV18" s="75" t="s">
        <v>256</v>
      </c>
      <c r="GW18" s="75" t="s">
        <v>256</v>
      </c>
      <c r="GX18" s="75" t="s">
        <v>256</v>
      </c>
      <c r="GY18" s="75" t="s">
        <v>256</v>
      </c>
      <c r="GZ18" s="75" t="s">
        <v>256</v>
      </c>
      <c r="HA18" s="75" t="s">
        <v>256</v>
      </c>
      <c r="HB18" s="75" t="s">
        <v>256</v>
      </c>
      <c r="HC18" s="75" t="s">
        <v>256</v>
      </c>
      <c r="HD18" s="75" t="s">
        <v>256</v>
      </c>
      <c r="HE18" s="75"/>
      <c r="HF18" s="75" t="s">
        <v>256</v>
      </c>
      <c r="HG18" s="75" t="s">
        <v>256</v>
      </c>
      <c r="HH18" s="75" t="s">
        <v>256</v>
      </c>
      <c r="HI18" s="75" t="s">
        <v>256</v>
      </c>
      <c r="HJ18" s="75" t="s">
        <v>256</v>
      </c>
      <c r="HK18" s="75" t="s">
        <v>256</v>
      </c>
      <c r="HL18" s="75" t="s">
        <v>256</v>
      </c>
      <c r="HM18" s="75"/>
      <c r="HN18" s="75" t="s">
        <v>256</v>
      </c>
      <c r="HO18" s="75" t="s">
        <v>256</v>
      </c>
      <c r="HP18" s="75" t="s">
        <v>256</v>
      </c>
      <c r="HQ18" s="75" t="s">
        <v>256</v>
      </c>
      <c r="HR18" s="75" t="s">
        <v>256</v>
      </c>
      <c r="HS18" s="75" t="s">
        <v>256</v>
      </c>
      <c r="HT18" s="75"/>
      <c r="HU18" s="75" t="s">
        <v>256</v>
      </c>
      <c r="HV18" s="75" t="s">
        <v>256</v>
      </c>
      <c r="HW18" s="75" t="s">
        <v>256</v>
      </c>
      <c r="HX18" s="75" t="s">
        <v>256</v>
      </c>
      <c r="HY18" s="75" t="s">
        <v>256</v>
      </c>
      <c r="HZ18" s="75" t="s">
        <v>256</v>
      </c>
      <c r="IA18" s="75"/>
      <c r="IB18" s="75" t="s">
        <v>256</v>
      </c>
      <c r="IC18" s="81" t="s">
        <v>256</v>
      </c>
      <c r="ID18" s="81" t="s">
        <v>256</v>
      </c>
      <c r="IE18" s="81" t="s">
        <v>256</v>
      </c>
      <c r="IF18" s="75" t="s">
        <v>256</v>
      </c>
      <c r="IG18" s="75" t="s">
        <v>256</v>
      </c>
      <c r="IH18" s="75"/>
      <c r="II18" s="75" t="s">
        <v>256</v>
      </c>
      <c r="IJ18" s="75" t="s">
        <v>256</v>
      </c>
      <c r="IK18" s="75" t="s">
        <v>256</v>
      </c>
      <c r="IL18" s="75" t="s">
        <v>256</v>
      </c>
      <c r="IM18" s="75" t="s">
        <v>256</v>
      </c>
      <c r="IN18" s="75"/>
      <c r="IO18" s="81" t="s">
        <v>237</v>
      </c>
      <c r="IP18" s="75" t="s">
        <v>6</v>
      </c>
      <c r="IQ18" s="81" t="s">
        <v>237</v>
      </c>
      <c r="IR18" s="81" t="s">
        <v>237</v>
      </c>
      <c r="IS18" s="75" t="s">
        <v>256</v>
      </c>
      <c r="IT18" s="75" t="s">
        <v>256</v>
      </c>
      <c r="IU18" s="81" t="s">
        <v>237</v>
      </c>
      <c r="IV18" s="81"/>
      <c r="IW18" s="75" t="s">
        <v>256</v>
      </c>
      <c r="IX18" s="75" t="s">
        <v>6</v>
      </c>
      <c r="IY18" s="75" t="s">
        <v>256</v>
      </c>
      <c r="IZ18" s="75" t="s">
        <v>256</v>
      </c>
      <c r="JA18" s="75" t="s">
        <v>256</v>
      </c>
      <c r="JB18" s="81"/>
      <c r="JC18" s="75" t="s">
        <v>256</v>
      </c>
      <c r="JD18" s="81" t="s">
        <v>244</v>
      </c>
      <c r="JE18" s="75" t="s">
        <v>256</v>
      </c>
      <c r="JF18" s="81" t="s">
        <v>256</v>
      </c>
      <c r="JG18" s="81" t="s">
        <v>256</v>
      </c>
      <c r="JH18" s="81" t="s">
        <v>256</v>
      </c>
      <c r="JI18" s="81" t="s">
        <v>256</v>
      </c>
      <c r="JJ18" s="75" t="s">
        <v>256</v>
      </c>
      <c r="JK18" s="75" t="s">
        <v>256</v>
      </c>
      <c r="JL18" s="75"/>
      <c r="JM18" s="75" t="s">
        <v>256</v>
      </c>
      <c r="JN18" s="75" t="s">
        <v>256</v>
      </c>
      <c r="JO18" s="75" t="s">
        <v>256</v>
      </c>
      <c r="JP18" s="75"/>
      <c r="JQ18" s="75" t="s">
        <v>256</v>
      </c>
      <c r="JR18" s="75" t="s">
        <v>256</v>
      </c>
      <c r="JS18" s="75" t="s">
        <v>256</v>
      </c>
      <c r="JT18" s="75" t="s">
        <v>256</v>
      </c>
      <c r="JU18" s="75" t="s">
        <v>256</v>
      </c>
      <c r="JV18" s="75" t="s">
        <v>256</v>
      </c>
    </row>
    <row r="19" spans="1:282" x14ac:dyDescent="0.15">
      <c r="A19" s="103" t="s">
        <v>588</v>
      </c>
      <c r="B19" s="6" t="s">
        <v>585</v>
      </c>
      <c r="C19" s="6">
        <v>130000</v>
      </c>
      <c r="D19" s="6">
        <v>2</v>
      </c>
      <c r="E19" s="6">
        <v>6</v>
      </c>
      <c r="F19" s="6">
        <v>4</v>
      </c>
      <c r="G19" s="6" t="s">
        <v>37</v>
      </c>
      <c r="H19" s="6" t="s">
        <v>96</v>
      </c>
      <c r="I19" s="6" t="s">
        <v>41</v>
      </c>
      <c r="J19" s="21" t="s">
        <v>594</v>
      </c>
      <c r="K19" s="21">
        <v>1</v>
      </c>
      <c r="L19" s="21">
        <v>2</v>
      </c>
      <c r="M19" s="21">
        <v>1</v>
      </c>
      <c r="N19" s="21">
        <v>0</v>
      </c>
      <c r="O19" s="21">
        <v>0</v>
      </c>
      <c r="P19" s="23" t="str">
        <f>IF(TeamT[[#This Row],[General]]+TeamT[[#This Row],[Agility]]+TeamT[[#This Row],[Strength]]+TeamT[[#This Row],[Passing]]+TeamT[[#This Row],[Mutation]]&gt;0,IF(TeamT[[#This Row],[General]]=1,"G","")&amp;IF(TeamT[[#This Row],[Agility]]=1,"A","")&amp;IF(TeamT[[#This Row],[Strength]]=1,"S","")&amp;IF(TeamT[[#This Row],[Passing]]=1,"P","")&amp;IF(TeamT[[#This Row],[Mutation]]=1,"M",""),"Star")</f>
        <v>GS</v>
      </c>
      <c r="Q19" s="23" t="str">
        <f>IF(TeamT[[#This Row],[General]]=2,"G","")&amp;IF(TeamT[[#This Row],[Agility]]=2,"A","")&amp;IF(TeamT[[#This Row],[Strength]]=2,"S","")&amp;IF(TeamT[[#This Row],[Passing]]=2,"P","")&amp;IF(TeamT[[#This Row],[Mutation]]=2,"M","")</f>
        <v>A</v>
      </c>
      <c r="R19" s="212"/>
      <c r="S19" s="21">
        <v>4</v>
      </c>
      <c r="T19" s="21">
        <v>6</v>
      </c>
      <c r="U19" s="21">
        <v>10</v>
      </c>
      <c r="AA19" s="76" t="e">
        <f>HLOOKUP(Roster!$E$5,Team!$BL$2:$MK$128,18,FALSE)</f>
        <v>#N/A</v>
      </c>
      <c r="AB19" s="76" t="e">
        <f>HLOOKUP(Roster!$E$6,Team!$BL$2:$MK$128,18,FALSE)</f>
        <v>#N/A</v>
      </c>
      <c r="AC19" s="76" t="e">
        <f>HLOOKUP(Roster!$E$7,Team!$BL$2:$MK$128,18,FALSE)</f>
        <v>#N/A</v>
      </c>
      <c r="AD19" s="76" t="e">
        <f>HLOOKUP(Roster!$E$8,Team!$BL$2:$MK$128,18,FALSE)</f>
        <v>#N/A</v>
      </c>
      <c r="AE19" s="76" t="e">
        <f>HLOOKUP(Roster!$E$9,Team!$BL$2:$MK$128,18,FALSE)</f>
        <v>#N/A</v>
      </c>
      <c r="AF19" s="76" t="e">
        <f>HLOOKUP(Roster!$E$10,Team!$BL$2:$MK$128,18,FALSE)</f>
        <v>#N/A</v>
      </c>
      <c r="AG19" s="76" t="e">
        <f>HLOOKUP(Roster!$E$11,Team!$BL$2:$MK$128,18,FALSE)</f>
        <v>#N/A</v>
      </c>
      <c r="AH19" s="76" t="e">
        <f>HLOOKUP(Roster!$E$12,Team!$BL$2:$MK$128,18,FALSE)</f>
        <v>#N/A</v>
      </c>
      <c r="AI19" s="76" t="e">
        <f>HLOOKUP(Roster!$E$13,Team!$BL$2:$MK$128,18,FALSE)</f>
        <v>#N/A</v>
      </c>
      <c r="AJ19" s="76" t="e">
        <f>HLOOKUP(Roster!$E$14,Team!$BL$2:$MK$128,18,FALSE)</f>
        <v>#N/A</v>
      </c>
      <c r="AK19" s="76" t="e">
        <f>HLOOKUP(Roster!$E$15,Team!$BL$2:$MK$128,18,FALSE)</f>
        <v>#N/A</v>
      </c>
      <c r="AL19" s="76" t="e">
        <f>HLOOKUP(Roster!$E$16,Team!$BL$2:$MK$128,18,FALSE)</f>
        <v>#N/A</v>
      </c>
      <c r="AM19" s="76" t="e">
        <f>HLOOKUP(Roster!$E$17,Team!$BL$2:$MK$128,18,FALSE)</f>
        <v>#N/A</v>
      </c>
      <c r="AN19" s="76" t="e">
        <f>HLOOKUP(Roster!$E$18,Team!$BL$2:$MK$128,18,FALSE)</f>
        <v>#N/A</v>
      </c>
      <c r="AO19" s="76" t="e">
        <f>HLOOKUP(Roster!$E$19,Team!$BL$2:$MK$128,18,FALSE)</f>
        <v>#N/A</v>
      </c>
      <c r="AP19" s="76" t="e">
        <f>HLOOKUP(Roster!$E$20,Team!$BL$2:$MK$128,18,FALSE)</f>
        <v>#N/A</v>
      </c>
      <c r="AR19" s="108">
        <f t="shared" si="1"/>
        <v>0</v>
      </c>
      <c r="AS19" s="108">
        <f t="shared" si="2"/>
        <v>0</v>
      </c>
      <c r="AT19" s="108">
        <f t="shared" si="3"/>
        <v>0</v>
      </c>
      <c r="AU19" s="108">
        <f t="shared" si="4"/>
        <v>0</v>
      </c>
      <c r="AV19" s="108">
        <f t="shared" si="5"/>
        <v>0</v>
      </c>
      <c r="AW19" s="108">
        <f t="shared" si="6"/>
        <v>0</v>
      </c>
      <c r="AX19" s="108">
        <f t="shared" si="7"/>
        <v>0</v>
      </c>
      <c r="AY19" s="108">
        <f t="shared" si="8"/>
        <v>0</v>
      </c>
      <c r="AZ19" s="108">
        <f t="shared" si="9"/>
        <v>0</v>
      </c>
      <c r="BA19" s="108">
        <f t="shared" si="10"/>
        <v>0</v>
      </c>
      <c r="BB19" s="108">
        <f t="shared" si="11"/>
        <v>0</v>
      </c>
      <c r="BC19" s="108">
        <f t="shared" si="12"/>
        <v>0</v>
      </c>
      <c r="BD19" s="108">
        <f t="shared" si="13"/>
        <v>0</v>
      </c>
      <c r="BE19" s="108">
        <f t="shared" si="14"/>
        <v>0</v>
      </c>
      <c r="BF19" s="108">
        <f t="shared" si="15"/>
        <v>0</v>
      </c>
      <c r="BG19" s="108">
        <f t="shared" si="16"/>
        <v>0</v>
      </c>
      <c r="BL19" s="75" t="s">
        <v>257</v>
      </c>
      <c r="BM19" s="75" t="s">
        <v>257</v>
      </c>
      <c r="BN19" s="75" t="s">
        <v>257</v>
      </c>
      <c r="BO19" s="75" t="s">
        <v>257</v>
      </c>
      <c r="BP19" s="75" t="s">
        <v>257</v>
      </c>
      <c r="BQ19" s="75"/>
      <c r="BR19" s="75" t="s">
        <v>257</v>
      </c>
      <c r="BS19" s="75" t="s">
        <v>257</v>
      </c>
      <c r="BT19" s="75" t="s">
        <v>257</v>
      </c>
      <c r="BU19" s="75" t="s">
        <v>257</v>
      </c>
      <c r="BV19" s="75"/>
      <c r="BW19" s="81" t="s">
        <v>257</v>
      </c>
      <c r="BX19" s="75" t="s">
        <v>257</v>
      </c>
      <c r="BY19" s="75" t="s">
        <v>257</v>
      </c>
      <c r="BZ19" s="75" t="s">
        <v>257</v>
      </c>
      <c r="CA19" s="75" t="s">
        <v>257</v>
      </c>
      <c r="CB19" s="81" t="s">
        <v>257</v>
      </c>
      <c r="CC19" s="77"/>
      <c r="CD19" s="75" t="s">
        <v>257</v>
      </c>
      <c r="CE19" s="75" t="s">
        <v>257</v>
      </c>
      <c r="CF19" s="75" t="s">
        <v>257</v>
      </c>
      <c r="CG19" s="75" t="s">
        <v>257</v>
      </c>
      <c r="CH19" s="75" t="s">
        <v>257</v>
      </c>
      <c r="CI19" s="77"/>
      <c r="CJ19" s="75" t="s">
        <v>257</v>
      </c>
      <c r="CK19" s="81" t="s">
        <v>257</v>
      </c>
      <c r="CL19" s="80" t="s">
        <v>272</v>
      </c>
      <c r="CM19" s="75" t="s">
        <v>257</v>
      </c>
      <c r="CN19" s="75" t="s">
        <v>257</v>
      </c>
      <c r="CO19" s="81" t="s">
        <v>257</v>
      </c>
      <c r="CP19" s="75" t="s">
        <v>257</v>
      </c>
      <c r="CQ19" s="75" t="s">
        <v>257</v>
      </c>
      <c r="CR19" s="75" t="s">
        <v>257</v>
      </c>
      <c r="CS19" s="75" t="s">
        <v>257</v>
      </c>
      <c r="CT19" s="75" t="s">
        <v>257</v>
      </c>
      <c r="CU19" s="75"/>
      <c r="CV19" s="75" t="s">
        <v>257</v>
      </c>
      <c r="CW19" s="75" t="s">
        <v>257</v>
      </c>
      <c r="CX19" s="75" t="s">
        <v>257</v>
      </c>
      <c r="CY19" s="75" t="s">
        <v>257</v>
      </c>
      <c r="CZ19" s="75" t="s">
        <v>257</v>
      </c>
      <c r="DA19" s="75"/>
      <c r="DB19" s="75" t="s">
        <v>257</v>
      </c>
      <c r="DC19" s="75" t="s">
        <v>257</v>
      </c>
      <c r="DD19" s="75" t="s">
        <v>257</v>
      </c>
      <c r="DE19" s="75" t="s">
        <v>257</v>
      </c>
      <c r="DF19" s="75" t="s">
        <v>257</v>
      </c>
      <c r="DG19" s="75" t="s">
        <v>257</v>
      </c>
      <c r="DH19" s="75"/>
      <c r="DI19" s="75" t="s">
        <v>257</v>
      </c>
      <c r="DJ19" s="75" t="s">
        <v>257</v>
      </c>
      <c r="DK19" s="75" t="s">
        <v>257</v>
      </c>
      <c r="DL19" s="75" t="s">
        <v>257</v>
      </c>
      <c r="DM19" s="75" t="s">
        <v>257</v>
      </c>
      <c r="DN19" s="75" t="s">
        <v>257</v>
      </c>
      <c r="DO19" s="75"/>
      <c r="DP19" s="75" t="s">
        <v>257</v>
      </c>
      <c r="DQ19" s="75" t="s">
        <v>257</v>
      </c>
      <c r="DR19" s="75" t="s">
        <v>257</v>
      </c>
      <c r="DS19" s="75" t="s">
        <v>257</v>
      </c>
      <c r="DT19" s="75" t="s">
        <v>257</v>
      </c>
      <c r="DU19" s="75"/>
      <c r="DV19" s="75" t="s">
        <v>257</v>
      </c>
      <c r="DW19" s="75" t="s">
        <v>257</v>
      </c>
      <c r="DX19" s="75" t="s">
        <v>257</v>
      </c>
      <c r="DY19" s="75" t="s">
        <v>257</v>
      </c>
      <c r="DZ19" s="75" t="s">
        <v>257</v>
      </c>
      <c r="EA19" s="75" t="s">
        <v>257</v>
      </c>
      <c r="EB19" s="75" t="s">
        <v>257</v>
      </c>
      <c r="EC19" s="75" t="s">
        <v>257</v>
      </c>
      <c r="ED19" s="75" t="s">
        <v>257</v>
      </c>
      <c r="EE19" s="75"/>
      <c r="EF19" s="75" t="s">
        <v>257</v>
      </c>
      <c r="EG19" s="75" t="s">
        <v>257</v>
      </c>
      <c r="EH19" s="75" t="s">
        <v>257</v>
      </c>
      <c r="EI19" s="75" t="s">
        <v>257</v>
      </c>
      <c r="EJ19" s="75" t="s">
        <v>257</v>
      </c>
      <c r="EK19" s="75"/>
      <c r="EL19" s="75" t="s">
        <v>257</v>
      </c>
      <c r="EM19" s="75" t="s">
        <v>257</v>
      </c>
      <c r="EN19" s="75" t="s">
        <v>257</v>
      </c>
      <c r="EO19" s="75" t="s">
        <v>257</v>
      </c>
      <c r="EP19" s="75" t="s">
        <v>257</v>
      </c>
      <c r="EQ19" s="75"/>
      <c r="ER19" s="75" t="s">
        <v>257</v>
      </c>
      <c r="ES19" s="75" t="s">
        <v>257</v>
      </c>
      <c r="ET19" s="75" t="s">
        <v>257</v>
      </c>
      <c r="EU19" s="75" t="s">
        <v>257</v>
      </c>
      <c r="EV19" s="75" t="s">
        <v>257</v>
      </c>
      <c r="EW19" s="75" t="s">
        <v>257</v>
      </c>
      <c r="EX19" s="75" t="s">
        <v>257</v>
      </c>
      <c r="EY19" s="75"/>
      <c r="EZ19" s="75" t="s">
        <v>257</v>
      </c>
      <c r="FA19" s="75" t="s">
        <v>257</v>
      </c>
      <c r="FB19" s="75" t="s">
        <v>257</v>
      </c>
      <c r="FC19" s="75" t="s">
        <v>257</v>
      </c>
      <c r="FD19" s="75" t="s">
        <v>257</v>
      </c>
      <c r="FE19" s="75" t="s">
        <v>257</v>
      </c>
      <c r="FF19" s="75"/>
      <c r="FG19" s="75" t="s">
        <v>257</v>
      </c>
      <c r="FH19" s="81" t="s">
        <v>257</v>
      </c>
      <c r="FI19" s="75" t="s">
        <v>257</v>
      </c>
      <c r="FJ19" s="75" t="s">
        <v>257</v>
      </c>
      <c r="FK19" s="75" t="s">
        <v>257</v>
      </c>
      <c r="FL19" s="75"/>
      <c r="FM19" s="75" t="s">
        <v>257</v>
      </c>
      <c r="FN19" s="75" t="s">
        <v>257</v>
      </c>
      <c r="FO19" s="75" t="s">
        <v>257</v>
      </c>
      <c r="FP19" s="75" t="s">
        <v>257</v>
      </c>
      <c r="FQ19" s="75" t="s">
        <v>257</v>
      </c>
      <c r="FR19" s="75"/>
      <c r="FS19" s="75" t="s">
        <v>257</v>
      </c>
      <c r="FT19" s="75" t="s">
        <v>257</v>
      </c>
      <c r="FU19" s="75" t="s">
        <v>257</v>
      </c>
      <c r="FV19" s="75" t="s">
        <v>257</v>
      </c>
      <c r="FW19" s="75" t="s">
        <v>257</v>
      </c>
      <c r="FX19" s="75" t="s">
        <v>257</v>
      </c>
      <c r="FY19" s="75"/>
      <c r="FZ19" s="75" t="s">
        <v>257</v>
      </c>
      <c r="GA19" s="81" t="s">
        <v>230</v>
      </c>
      <c r="GB19" s="75" t="s">
        <v>257</v>
      </c>
      <c r="GC19" s="75" t="s">
        <v>257</v>
      </c>
      <c r="GD19" s="75" t="s">
        <v>257</v>
      </c>
      <c r="GE19" s="75" t="s">
        <v>257</v>
      </c>
      <c r="GF19" s="75" t="s">
        <v>257</v>
      </c>
      <c r="GG19" s="75"/>
      <c r="GH19" s="75" t="s">
        <v>257</v>
      </c>
      <c r="GI19" s="81" t="s">
        <v>257</v>
      </c>
      <c r="GJ19" s="75" t="s">
        <v>257</v>
      </c>
      <c r="GK19" s="75" t="s">
        <v>257</v>
      </c>
      <c r="GL19" s="75" t="s">
        <v>257</v>
      </c>
      <c r="GM19" s="75"/>
      <c r="GN19" s="81" t="s">
        <v>238</v>
      </c>
      <c r="GO19" s="75" t="s">
        <v>257</v>
      </c>
      <c r="GP19" s="75" t="s">
        <v>257</v>
      </c>
      <c r="GQ19" s="81" t="s">
        <v>238</v>
      </c>
      <c r="GR19" s="81"/>
      <c r="GS19" s="75" t="s">
        <v>257</v>
      </c>
      <c r="GT19" s="75" t="s">
        <v>257</v>
      </c>
      <c r="GU19" s="75" t="s">
        <v>257</v>
      </c>
      <c r="GV19" s="75" t="s">
        <v>257</v>
      </c>
      <c r="GW19" s="75" t="s">
        <v>257</v>
      </c>
      <c r="GX19" s="75" t="s">
        <v>257</v>
      </c>
      <c r="GY19" s="75" t="s">
        <v>257</v>
      </c>
      <c r="GZ19" s="75" t="s">
        <v>257</v>
      </c>
      <c r="HA19" s="75" t="s">
        <v>257</v>
      </c>
      <c r="HB19" s="75" t="s">
        <v>257</v>
      </c>
      <c r="HC19" s="75" t="s">
        <v>257</v>
      </c>
      <c r="HD19" s="75" t="s">
        <v>257</v>
      </c>
      <c r="HE19" s="75"/>
      <c r="HF19" s="75" t="s">
        <v>257</v>
      </c>
      <c r="HG19" s="75" t="s">
        <v>257</v>
      </c>
      <c r="HH19" s="75" t="s">
        <v>257</v>
      </c>
      <c r="HI19" s="75" t="s">
        <v>257</v>
      </c>
      <c r="HJ19" s="75" t="s">
        <v>257</v>
      </c>
      <c r="HK19" s="75" t="s">
        <v>257</v>
      </c>
      <c r="HL19" s="75" t="s">
        <v>257</v>
      </c>
      <c r="HM19" s="75"/>
      <c r="HN19" s="75" t="s">
        <v>257</v>
      </c>
      <c r="HO19" s="75" t="s">
        <v>257</v>
      </c>
      <c r="HP19" s="75" t="s">
        <v>257</v>
      </c>
      <c r="HQ19" s="75" t="s">
        <v>257</v>
      </c>
      <c r="HR19" s="75" t="s">
        <v>257</v>
      </c>
      <c r="HS19" s="75" t="s">
        <v>257</v>
      </c>
      <c r="HT19" s="75"/>
      <c r="HU19" s="75" t="s">
        <v>257</v>
      </c>
      <c r="HV19" s="75" t="s">
        <v>257</v>
      </c>
      <c r="HW19" s="75" t="s">
        <v>257</v>
      </c>
      <c r="HX19" s="75" t="s">
        <v>257</v>
      </c>
      <c r="HY19" s="75" t="s">
        <v>257</v>
      </c>
      <c r="HZ19" s="75" t="s">
        <v>257</v>
      </c>
      <c r="IA19" s="75"/>
      <c r="IB19" s="75" t="s">
        <v>257</v>
      </c>
      <c r="IC19" s="81" t="s">
        <v>257</v>
      </c>
      <c r="ID19" s="81" t="s">
        <v>257</v>
      </c>
      <c r="IE19" s="81" t="s">
        <v>257</v>
      </c>
      <c r="IF19" s="75" t="s">
        <v>257</v>
      </c>
      <c r="IG19" s="75" t="s">
        <v>257</v>
      </c>
      <c r="IH19" s="75"/>
      <c r="II19" s="75" t="s">
        <v>257</v>
      </c>
      <c r="IJ19" s="75" t="s">
        <v>257</v>
      </c>
      <c r="IK19" s="75" t="s">
        <v>257</v>
      </c>
      <c r="IL19" s="75" t="s">
        <v>257</v>
      </c>
      <c r="IM19" s="75" t="s">
        <v>257</v>
      </c>
      <c r="IN19" s="75"/>
      <c r="IO19" s="81" t="s">
        <v>238</v>
      </c>
      <c r="IP19" s="74" t="s">
        <v>272</v>
      </c>
      <c r="IQ19" s="81" t="s">
        <v>238</v>
      </c>
      <c r="IR19" s="81" t="s">
        <v>238</v>
      </c>
      <c r="IS19" s="75" t="s">
        <v>257</v>
      </c>
      <c r="IT19" s="75" t="s">
        <v>257</v>
      </c>
      <c r="IU19" s="81" t="s">
        <v>238</v>
      </c>
      <c r="IV19" s="81"/>
      <c r="IW19" s="75" t="s">
        <v>257</v>
      </c>
      <c r="IX19" s="74" t="s">
        <v>272</v>
      </c>
      <c r="IY19" s="75" t="s">
        <v>257</v>
      </c>
      <c r="IZ19" s="75" t="s">
        <v>257</v>
      </c>
      <c r="JA19" s="75" t="s">
        <v>257</v>
      </c>
      <c r="JB19" s="81"/>
      <c r="JC19" s="75" t="s">
        <v>257</v>
      </c>
      <c r="JD19" s="81" t="s">
        <v>245</v>
      </c>
      <c r="JE19" s="75" t="s">
        <v>257</v>
      </c>
      <c r="JF19" s="81" t="s">
        <v>257</v>
      </c>
      <c r="JG19" s="81" t="s">
        <v>257</v>
      </c>
      <c r="JH19" s="81" t="s">
        <v>257</v>
      </c>
      <c r="JI19" s="81" t="s">
        <v>257</v>
      </c>
      <c r="JJ19" s="75" t="s">
        <v>257</v>
      </c>
      <c r="JK19" s="75" t="s">
        <v>257</v>
      </c>
      <c r="JL19" s="75"/>
      <c r="JM19" s="75" t="s">
        <v>257</v>
      </c>
      <c r="JN19" s="75" t="s">
        <v>257</v>
      </c>
      <c r="JO19" s="75" t="s">
        <v>257</v>
      </c>
      <c r="JP19" s="75"/>
      <c r="JQ19" s="75" t="s">
        <v>257</v>
      </c>
      <c r="JR19" s="75" t="s">
        <v>257</v>
      </c>
      <c r="JS19" s="75" t="s">
        <v>257</v>
      </c>
      <c r="JT19" s="75" t="s">
        <v>257</v>
      </c>
      <c r="JU19" s="75" t="s">
        <v>257</v>
      </c>
      <c r="JV19" s="75" t="s">
        <v>257</v>
      </c>
    </row>
    <row r="20" spans="1:282" x14ac:dyDescent="0.15">
      <c r="A20" s="103" t="s">
        <v>589</v>
      </c>
      <c r="B20" s="6" t="s">
        <v>585</v>
      </c>
      <c r="C20" s="6">
        <v>150000</v>
      </c>
      <c r="D20" s="6">
        <v>1</v>
      </c>
      <c r="E20" s="6">
        <v>5</v>
      </c>
      <c r="F20" s="6">
        <v>5</v>
      </c>
      <c r="G20" s="6" t="s">
        <v>37</v>
      </c>
      <c r="H20" s="6" t="s">
        <v>53</v>
      </c>
      <c r="I20" s="6" t="s">
        <v>46</v>
      </c>
      <c r="J20" s="21" t="s">
        <v>702</v>
      </c>
      <c r="K20" s="21">
        <v>2</v>
      </c>
      <c r="L20" s="21">
        <v>2</v>
      </c>
      <c r="M20" s="21">
        <v>1</v>
      </c>
      <c r="N20" s="21">
        <v>0</v>
      </c>
      <c r="O20" s="21">
        <v>2</v>
      </c>
      <c r="P20" s="23" t="str">
        <f>IF(TeamT[[#This Row],[General]]+TeamT[[#This Row],[Agility]]+TeamT[[#This Row],[Strength]]+TeamT[[#This Row],[Passing]]+TeamT[[#This Row],[Mutation]]&gt;0,IF(TeamT[[#This Row],[General]]=1,"G","")&amp;IF(TeamT[[#This Row],[Agility]]=1,"A","")&amp;IF(TeamT[[#This Row],[Strength]]=1,"S","")&amp;IF(TeamT[[#This Row],[Passing]]=1,"P","")&amp;IF(TeamT[[#This Row],[Mutation]]=1,"M",""),"Star")</f>
        <v>S</v>
      </c>
      <c r="Q20" s="23" t="str">
        <f>IF(TeamT[[#This Row],[General]]=2,"G","")&amp;IF(TeamT[[#This Row],[Agility]]=2,"A","")&amp;IF(TeamT[[#This Row],[Strength]]=2,"S","")&amp;IF(TeamT[[#This Row],[Passing]]=2,"P","")&amp;IF(TeamT[[#This Row],[Mutation]]=2,"M","")</f>
        <v>GAM</v>
      </c>
      <c r="R20" s="212"/>
      <c r="S20" s="21">
        <v>4</v>
      </c>
      <c r="T20" s="21" t="s">
        <v>53</v>
      </c>
      <c r="U20" s="21">
        <v>9</v>
      </c>
      <c r="AA20" s="76" t="e">
        <f>HLOOKUP(Roster!$E$5,Team!$BL$2:$MK$128,19,FALSE)</f>
        <v>#N/A</v>
      </c>
      <c r="AB20" s="76" t="e">
        <f>HLOOKUP(Roster!$E$6,Team!$BL$2:$MK$128,19,FALSE)</f>
        <v>#N/A</v>
      </c>
      <c r="AC20" s="76" t="e">
        <f>HLOOKUP(Roster!$E$7,Team!$BL$2:$MK$128,19,FALSE)</f>
        <v>#N/A</v>
      </c>
      <c r="AD20" s="76" t="e">
        <f>HLOOKUP(Roster!$E$8,Team!$BL$2:$MK$128,19,FALSE)</f>
        <v>#N/A</v>
      </c>
      <c r="AE20" s="76" t="e">
        <f>HLOOKUP(Roster!$E$9,Team!$BL$2:$MK$128,19,FALSE)</f>
        <v>#N/A</v>
      </c>
      <c r="AF20" s="76" t="e">
        <f>HLOOKUP(Roster!$E$10,Team!$BL$2:$MK$128,19,FALSE)</f>
        <v>#N/A</v>
      </c>
      <c r="AG20" s="76" t="e">
        <f>HLOOKUP(Roster!$E$11,Team!$BL$2:$MK$128,19,FALSE)</f>
        <v>#N/A</v>
      </c>
      <c r="AH20" s="76" t="e">
        <f>HLOOKUP(Roster!$E$12,Team!$BL$2:$MK$128,19,FALSE)</f>
        <v>#N/A</v>
      </c>
      <c r="AI20" s="76" t="e">
        <f>HLOOKUP(Roster!$E$13,Team!$BL$2:$MK$128,19,FALSE)</f>
        <v>#N/A</v>
      </c>
      <c r="AJ20" s="76" t="e">
        <f>HLOOKUP(Roster!$E$14,Team!$BL$2:$MK$128,19,FALSE)</f>
        <v>#N/A</v>
      </c>
      <c r="AK20" s="76" t="e">
        <f>HLOOKUP(Roster!$E$15,Team!$BL$2:$MK$128,19,FALSE)</f>
        <v>#N/A</v>
      </c>
      <c r="AL20" s="76" t="e">
        <f>HLOOKUP(Roster!$E$16,Team!$BL$2:$MK$128,19,FALSE)</f>
        <v>#N/A</v>
      </c>
      <c r="AM20" s="76" t="e">
        <f>HLOOKUP(Roster!$E$17,Team!$BL$2:$MK$128,19,FALSE)</f>
        <v>#N/A</v>
      </c>
      <c r="AN20" s="76" t="e">
        <f>HLOOKUP(Roster!$E$18,Team!$BL$2:$MK$128,19,FALSE)</f>
        <v>#N/A</v>
      </c>
      <c r="AO20" s="76" t="e">
        <f>HLOOKUP(Roster!$E$19,Team!$BL$2:$MK$128,19,FALSE)</f>
        <v>#N/A</v>
      </c>
      <c r="AP20" s="76" t="e">
        <f>HLOOKUP(Roster!$E$20,Team!$BL$2:$MK$128,19,FALSE)</f>
        <v>#N/A</v>
      </c>
      <c r="AR20" s="108">
        <f t="shared" si="1"/>
        <v>0</v>
      </c>
      <c r="AS20" s="108">
        <f t="shared" si="2"/>
        <v>0</v>
      </c>
      <c r="AT20" s="108">
        <f t="shared" si="3"/>
        <v>0</v>
      </c>
      <c r="AU20" s="108">
        <f t="shared" si="4"/>
        <v>0</v>
      </c>
      <c r="AV20" s="108">
        <f t="shared" si="5"/>
        <v>0</v>
      </c>
      <c r="AW20" s="108">
        <f t="shared" si="6"/>
        <v>0</v>
      </c>
      <c r="AX20" s="108">
        <f t="shared" si="7"/>
        <v>0</v>
      </c>
      <c r="AY20" s="108">
        <f t="shared" si="8"/>
        <v>0</v>
      </c>
      <c r="AZ20" s="108">
        <f t="shared" si="9"/>
        <v>0</v>
      </c>
      <c r="BA20" s="108">
        <f t="shared" si="10"/>
        <v>0</v>
      </c>
      <c r="BB20" s="108">
        <f t="shared" si="11"/>
        <v>0</v>
      </c>
      <c r="BC20" s="108">
        <f t="shared" si="12"/>
        <v>0</v>
      </c>
      <c r="BD20" s="108">
        <f t="shared" si="13"/>
        <v>0</v>
      </c>
      <c r="BE20" s="108">
        <f t="shared" si="14"/>
        <v>0</v>
      </c>
      <c r="BF20" s="108">
        <f t="shared" si="15"/>
        <v>0</v>
      </c>
      <c r="BG20" s="108">
        <f t="shared" si="16"/>
        <v>0</v>
      </c>
      <c r="BL20" s="75" t="s">
        <v>258</v>
      </c>
      <c r="BM20" s="75" t="s">
        <v>258</v>
      </c>
      <c r="BN20" s="75" t="s">
        <v>258</v>
      </c>
      <c r="BO20" s="75" t="s">
        <v>258</v>
      </c>
      <c r="BP20" s="75" t="s">
        <v>258</v>
      </c>
      <c r="BQ20" s="75"/>
      <c r="BR20" s="75" t="s">
        <v>258</v>
      </c>
      <c r="BS20" s="75" t="s">
        <v>258</v>
      </c>
      <c r="BT20" s="75" t="s">
        <v>258</v>
      </c>
      <c r="BU20" s="75" t="s">
        <v>258</v>
      </c>
      <c r="BV20" s="75"/>
      <c r="BW20" s="81" t="s">
        <v>258</v>
      </c>
      <c r="BX20" s="75" t="s">
        <v>258</v>
      </c>
      <c r="BY20" s="75" t="s">
        <v>258</v>
      </c>
      <c r="BZ20" s="75" t="s">
        <v>258</v>
      </c>
      <c r="CA20" s="75" t="s">
        <v>258</v>
      </c>
      <c r="CB20" s="81" t="s">
        <v>258</v>
      </c>
      <c r="CC20" s="77"/>
      <c r="CD20" s="75" t="s">
        <v>258</v>
      </c>
      <c r="CE20" s="75" t="s">
        <v>258</v>
      </c>
      <c r="CF20" s="75" t="s">
        <v>258</v>
      </c>
      <c r="CG20" s="75" t="s">
        <v>258</v>
      </c>
      <c r="CH20" s="75" t="s">
        <v>258</v>
      </c>
      <c r="CI20" s="77"/>
      <c r="CJ20" s="75" t="s">
        <v>258</v>
      </c>
      <c r="CK20" s="81" t="s">
        <v>258</v>
      </c>
      <c r="CL20" s="81" t="s">
        <v>273</v>
      </c>
      <c r="CM20" s="75" t="s">
        <v>258</v>
      </c>
      <c r="CN20" s="75" t="s">
        <v>258</v>
      </c>
      <c r="CO20" s="81" t="s">
        <v>258</v>
      </c>
      <c r="CP20" s="75" t="s">
        <v>258</v>
      </c>
      <c r="CQ20" s="75" t="s">
        <v>258</v>
      </c>
      <c r="CR20" s="75" t="s">
        <v>258</v>
      </c>
      <c r="CS20" s="75" t="s">
        <v>258</v>
      </c>
      <c r="CT20" s="75" t="s">
        <v>258</v>
      </c>
      <c r="CU20" s="75"/>
      <c r="CV20" s="75" t="s">
        <v>258</v>
      </c>
      <c r="CW20" s="75" t="s">
        <v>258</v>
      </c>
      <c r="CX20" s="75" t="s">
        <v>258</v>
      </c>
      <c r="CY20" s="75" t="s">
        <v>258</v>
      </c>
      <c r="CZ20" s="75" t="s">
        <v>258</v>
      </c>
      <c r="DA20" s="75"/>
      <c r="DB20" s="75" t="s">
        <v>258</v>
      </c>
      <c r="DC20" s="75" t="s">
        <v>258</v>
      </c>
      <c r="DD20" s="75" t="s">
        <v>258</v>
      </c>
      <c r="DE20" s="75" t="s">
        <v>258</v>
      </c>
      <c r="DF20" s="75" t="s">
        <v>258</v>
      </c>
      <c r="DG20" s="75" t="s">
        <v>258</v>
      </c>
      <c r="DH20" s="75"/>
      <c r="DI20" s="75" t="s">
        <v>258</v>
      </c>
      <c r="DJ20" s="75" t="s">
        <v>258</v>
      </c>
      <c r="DK20" s="75" t="s">
        <v>258</v>
      </c>
      <c r="DL20" s="75" t="s">
        <v>258</v>
      </c>
      <c r="DM20" s="75" t="s">
        <v>258</v>
      </c>
      <c r="DN20" s="75" t="s">
        <v>258</v>
      </c>
      <c r="DO20" s="75"/>
      <c r="DP20" s="75" t="s">
        <v>258</v>
      </c>
      <c r="DQ20" s="75" t="s">
        <v>258</v>
      </c>
      <c r="DR20" s="75" t="s">
        <v>258</v>
      </c>
      <c r="DS20" s="75" t="s">
        <v>258</v>
      </c>
      <c r="DT20" s="75" t="s">
        <v>258</v>
      </c>
      <c r="DU20" s="75"/>
      <c r="DV20" s="75" t="s">
        <v>258</v>
      </c>
      <c r="DW20" s="75" t="s">
        <v>258</v>
      </c>
      <c r="DX20" s="75" t="s">
        <v>258</v>
      </c>
      <c r="DY20" s="75" t="s">
        <v>258</v>
      </c>
      <c r="DZ20" s="75" t="s">
        <v>258</v>
      </c>
      <c r="EA20" s="75" t="s">
        <v>258</v>
      </c>
      <c r="EB20" s="75" t="s">
        <v>258</v>
      </c>
      <c r="EC20" s="75" t="s">
        <v>258</v>
      </c>
      <c r="ED20" s="75" t="s">
        <v>258</v>
      </c>
      <c r="EE20" s="75"/>
      <c r="EF20" s="75" t="s">
        <v>258</v>
      </c>
      <c r="EG20" s="75" t="s">
        <v>258</v>
      </c>
      <c r="EH20" s="75" t="s">
        <v>258</v>
      </c>
      <c r="EI20" s="75" t="s">
        <v>258</v>
      </c>
      <c r="EJ20" s="75" t="s">
        <v>258</v>
      </c>
      <c r="EK20" s="75"/>
      <c r="EL20" s="75" t="s">
        <v>258</v>
      </c>
      <c r="EM20" s="75" t="s">
        <v>258</v>
      </c>
      <c r="EN20" s="75" t="s">
        <v>258</v>
      </c>
      <c r="EO20" s="75" t="s">
        <v>258</v>
      </c>
      <c r="EP20" s="75" t="s">
        <v>258</v>
      </c>
      <c r="EQ20" s="75"/>
      <c r="ER20" s="75" t="s">
        <v>258</v>
      </c>
      <c r="ES20" s="75" t="s">
        <v>258</v>
      </c>
      <c r="ET20" s="75" t="s">
        <v>258</v>
      </c>
      <c r="EU20" s="75" t="s">
        <v>258</v>
      </c>
      <c r="EV20" s="75" t="s">
        <v>258</v>
      </c>
      <c r="EW20" s="75" t="s">
        <v>258</v>
      </c>
      <c r="EX20" s="75" t="s">
        <v>258</v>
      </c>
      <c r="EY20" s="75"/>
      <c r="EZ20" s="75" t="s">
        <v>258</v>
      </c>
      <c r="FA20" s="75" t="s">
        <v>258</v>
      </c>
      <c r="FB20" s="75" t="s">
        <v>258</v>
      </c>
      <c r="FC20" s="75" t="s">
        <v>258</v>
      </c>
      <c r="FD20" s="75" t="s">
        <v>258</v>
      </c>
      <c r="FE20" s="75" t="s">
        <v>258</v>
      </c>
      <c r="FF20" s="75"/>
      <c r="FG20" s="75" t="s">
        <v>258</v>
      </c>
      <c r="FH20" s="81" t="s">
        <v>258</v>
      </c>
      <c r="FI20" s="75" t="s">
        <v>258</v>
      </c>
      <c r="FJ20" s="75" t="s">
        <v>258</v>
      </c>
      <c r="FK20" s="75" t="s">
        <v>258</v>
      </c>
      <c r="FL20" s="75"/>
      <c r="FM20" s="75" t="s">
        <v>258</v>
      </c>
      <c r="FN20" s="75" t="s">
        <v>258</v>
      </c>
      <c r="FO20" s="75" t="s">
        <v>258</v>
      </c>
      <c r="FP20" s="75" t="s">
        <v>258</v>
      </c>
      <c r="FQ20" s="75" t="s">
        <v>258</v>
      </c>
      <c r="FR20" s="75"/>
      <c r="FS20" s="75" t="s">
        <v>258</v>
      </c>
      <c r="FT20" s="75" t="s">
        <v>258</v>
      </c>
      <c r="FU20" s="75" t="s">
        <v>258</v>
      </c>
      <c r="FV20" s="75" t="s">
        <v>258</v>
      </c>
      <c r="FW20" s="75" t="s">
        <v>258</v>
      </c>
      <c r="FX20" s="75" t="s">
        <v>258</v>
      </c>
      <c r="FY20" s="75"/>
      <c r="FZ20" s="75" t="s">
        <v>258</v>
      </c>
      <c r="GA20" s="81" t="s">
        <v>231</v>
      </c>
      <c r="GB20" s="75" t="s">
        <v>258</v>
      </c>
      <c r="GC20" s="75" t="s">
        <v>258</v>
      </c>
      <c r="GD20" s="75" t="s">
        <v>258</v>
      </c>
      <c r="GE20" s="75" t="s">
        <v>258</v>
      </c>
      <c r="GF20" s="75" t="s">
        <v>258</v>
      </c>
      <c r="GG20" s="75"/>
      <c r="GH20" s="75" t="s">
        <v>258</v>
      </c>
      <c r="GI20" s="81" t="s">
        <v>258</v>
      </c>
      <c r="GJ20" s="75" t="s">
        <v>258</v>
      </c>
      <c r="GK20" s="75" t="s">
        <v>258</v>
      </c>
      <c r="GL20" s="75" t="s">
        <v>258</v>
      </c>
      <c r="GM20" s="75"/>
      <c r="GN20" s="81" t="s">
        <v>239</v>
      </c>
      <c r="GO20" s="75" t="s">
        <v>258</v>
      </c>
      <c r="GP20" s="75" t="s">
        <v>258</v>
      </c>
      <c r="GQ20" s="81" t="s">
        <v>239</v>
      </c>
      <c r="GR20" s="81"/>
      <c r="GS20" s="75" t="s">
        <v>258</v>
      </c>
      <c r="GT20" s="75" t="s">
        <v>258</v>
      </c>
      <c r="GU20" s="75" t="s">
        <v>258</v>
      </c>
      <c r="GV20" s="75" t="s">
        <v>258</v>
      </c>
      <c r="GW20" s="75" t="s">
        <v>258</v>
      </c>
      <c r="GX20" s="75" t="s">
        <v>258</v>
      </c>
      <c r="GY20" s="75" t="s">
        <v>258</v>
      </c>
      <c r="GZ20" s="75" t="s">
        <v>258</v>
      </c>
      <c r="HA20" s="75" t="s">
        <v>258</v>
      </c>
      <c r="HB20" s="75" t="s">
        <v>258</v>
      </c>
      <c r="HC20" s="75" t="s">
        <v>258</v>
      </c>
      <c r="HD20" s="75" t="s">
        <v>258</v>
      </c>
      <c r="HE20" s="75"/>
      <c r="HF20" s="75" t="s">
        <v>258</v>
      </c>
      <c r="HG20" s="75" t="s">
        <v>258</v>
      </c>
      <c r="HH20" s="75" t="s">
        <v>258</v>
      </c>
      <c r="HI20" s="75" t="s">
        <v>258</v>
      </c>
      <c r="HJ20" s="75" t="s">
        <v>258</v>
      </c>
      <c r="HK20" s="75" t="s">
        <v>258</v>
      </c>
      <c r="HL20" s="75" t="s">
        <v>258</v>
      </c>
      <c r="HM20" s="75"/>
      <c r="HN20" s="75" t="s">
        <v>258</v>
      </c>
      <c r="HO20" s="75" t="s">
        <v>258</v>
      </c>
      <c r="HP20" s="75" t="s">
        <v>258</v>
      </c>
      <c r="HQ20" s="75" t="s">
        <v>258</v>
      </c>
      <c r="HR20" s="75" t="s">
        <v>258</v>
      </c>
      <c r="HS20" s="75" t="s">
        <v>258</v>
      </c>
      <c r="HT20" s="75"/>
      <c r="HU20" s="75" t="s">
        <v>258</v>
      </c>
      <c r="HV20" s="75" t="s">
        <v>258</v>
      </c>
      <c r="HW20" s="75" t="s">
        <v>258</v>
      </c>
      <c r="HX20" s="75" t="s">
        <v>258</v>
      </c>
      <c r="HY20" s="75" t="s">
        <v>258</v>
      </c>
      <c r="HZ20" s="75" t="s">
        <v>258</v>
      </c>
      <c r="IA20" s="75"/>
      <c r="IB20" s="75" t="s">
        <v>258</v>
      </c>
      <c r="IC20" s="81" t="s">
        <v>258</v>
      </c>
      <c r="ID20" s="81" t="s">
        <v>258</v>
      </c>
      <c r="IE20" s="81" t="s">
        <v>258</v>
      </c>
      <c r="IF20" s="75" t="s">
        <v>258</v>
      </c>
      <c r="IG20" s="75" t="s">
        <v>258</v>
      </c>
      <c r="IH20" s="75"/>
      <c r="II20" s="75" t="s">
        <v>258</v>
      </c>
      <c r="IJ20" s="75" t="s">
        <v>258</v>
      </c>
      <c r="IK20" s="75" t="s">
        <v>258</v>
      </c>
      <c r="IL20" s="75" t="s">
        <v>258</v>
      </c>
      <c r="IM20" s="75" t="s">
        <v>258</v>
      </c>
      <c r="IN20" s="75"/>
      <c r="IO20" s="81" t="s">
        <v>239</v>
      </c>
      <c r="IP20" s="75" t="s">
        <v>273</v>
      </c>
      <c r="IQ20" s="81" t="s">
        <v>239</v>
      </c>
      <c r="IR20" s="81" t="s">
        <v>239</v>
      </c>
      <c r="IS20" s="75" t="s">
        <v>258</v>
      </c>
      <c r="IT20" s="75" t="s">
        <v>258</v>
      </c>
      <c r="IU20" s="81" t="s">
        <v>239</v>
      </c>
      <c r="IV20" s="81"/>
      <c r="IW20" s="75" t="s">
        <v>258</v>
      </c>
      <c r="IX20" s="75" t="s">
        <v>273</v>
      </c>
      <c r="IY20" s="75" t="s">
        <v>258</v>
      </c>
      <c r="IZ20" s="75" t="s">
        <v>258</v>
      </c>
      <c r="JA20" s="75" t="s">
        <v>258</v>
      </c>
      <c r="JB20" s="81"/>
      <c r="JC20" s="75" t="s">
        <v>258</v>
      </c>
      <c r="JD20" s="81" t="s">
        <v>246</v>
      </c>
      <c r="JE20" s="75" t="s">
        <v>258</v>
      </c>
      <c r="JF20" s="81" t="s">
        <v>258</v>
      </c>
      <c r="JG20" s="81" t="s">
        <v>258</v>
      </c>
      <c r="JH20" s="81" t="s">
        <v>258</v>
      </c>
      <c r="JI20" s="81" t="s">
        <v>258</v>
      </c>
      <c r="JJ20" s="75" t="s">
        <v>258</v>
      </c>
      <c r="JK20" s="75" t="s">
        <v>258</v>
      </c>
      <c r="JL20" s="75"/>
      <c r="JM20" s="75" t="s">
        <v>258</v>
      </c>
      <c r="JN20" s="75" t="s">
        <v>258</v>
      </c>
      <c r="JO20" s="75" t="s">
        <v>258</v>
      </c>
      <c r="JP20" s="75"/>
      <c r="JQ20" s="75" t="s">
        <v>258</v>
      </c>
      <c r="JR20" s="75" t="s">
        <v>258</v>
      </c>
      <c r="JS20" s="75" t="s">
        <v>258</v>
      </c>
      <c r="JT20" s="75" t="s">
        <v>258</v>
      </c>
      <c r="JU20" s="75" t="s">
        <v>258</v>
      </c>
      <c r="JV20" s="75" t="s">
        <v>258</v>
      </c>
    </row>
    <row r="21" spans="1:282" x14ac:dyDescent="0.15">
      <c r="A21" s="103" t="s">
        <v>600</v>
      </c>
      <c r="B21" s="6" t="s">
        <v>585</v>
      </c>
      <c r="C21" s="6">
        <v>40000</v>
      </c>
      <c r="D21" s="6">
        <v>11</v>
      </c>
      <c r="E21" s="6">
        <v>6</v>
      </c>
      <c r="F21" s="6">
        <v>3</v>
      </c>
      <c r="G21" s="6" t="s">
        <v>36</v>
      </c>
      <c r="H21" s="6" t="s">
        <v>37</v>
      </c>
      <c r="I21" s="6" t="s">
        <v>38</v>
      </c>
      <c r="J21" s="21" t="s">
        <v>65</v>
      </c>
      <c r="K21" s="21">
        <v>1</v>
      </c>
      <c r="L21" s="21">
        <v>2</v>
      </c>
      <c r="M21" s="21">
        <v>2</v>
      </c>
      <c r="N21" s="21">
        <v>0</v>
      </c>
      <c r="O21" s="21">
        <v>0</v>
      </c>
      <c r="P21" s="23" t="str">
        <f>IF(TeamT[[#This Row],[General]]+TeamT[[#This Row],[Agility]]+TeamT[[#This Row],[Strength]]+TeamT[[#This Row],[Passing]]+TeamT[[#This Row],[Mutation]]&gt;0,IF(TeamT[[#This Row],[General]]=1,"G","")&amp;IF(TeamT[[#This Row],[Agility]]=1,"A","")&amp;IF(TeamT[[#This Row],[Strength]]=1,"S","")&amp;IF(TeamT[[#This Row],[Passing]]=1,"P","")&amp;IF(TeamT[[#This Row],[Mutation]]=1,"M",""),"Star")</f>
        <v>G</v>
      </c>
      <c r="Q21" s="23" t="str">
        <f>IF(TeamT[[#This Row],[General]]=2,"G","")&amp;IF(TeamT[[#This Row],[Agility]]=2,"A","")&amp;IF(TeamT[[#This Row],[Strength]]=2,"S","")&amp;IF(TeamT[[#This Row],[Passing]]=2,"P","")&amp;IF(TeamT[[#This Row],[Mutation]]=2,"M","")</f>
        <v>AS</v>
      </c>
      <c r="R21" s="212"/>
      <c r="S21" s="21">
        <v>3</v>
      </c>
      <c r="T21" s="21">
        <v>4</v>
      </c>
      <c r="U21" s="21">
        <v>8</v>
      </c>
      <c r="AA21" s="76" t="e">
        <f>HLOOKUP(Roster!$E$5,Team!$BL$2:$MK$128,20,FALSE)</f>
        <v>#N/A</v>
      </c>
      <c r="AB21" s="76" t="e">
        <f>HLOOKUP(Roster!$E$6,Team!$BL$2:$MK$128,20,FALSE)</f>
        <v>#N/A</v>
      </c>
      <c r="AC21" s="76" t="e">
        <f>HLOOKUP(Roster!$E$7,Team!$BL$2:$MK$128,20,FALSE)</f>
        <v>#N/A</v>
      </c>
      <c r="AD21" s="76" t="e">
        <f>HLOOKUP(Roster!$E$8,Team!$BL$2:$MK$128,20,FALSE)</f>
        <v>#N/A</v>
      </c>
      <c r="AE21" s="76" t="e">
        <f>HLOOKUP(Roster!$E$9,Team!$BL$2:$MK$128,20,FALSE)</f>
        <v>#N/A</v>
      </c>
      <c r="AF21" s="76" t="e">
        <f>HLOOKUP(Roster!$E$10,Team!$BL$2:$MK$128,20,FALSE)</f>
        <v>#N/A</v>
      </c>
      <c r="AG21" s="76" t="e">
        <f>HLOOKUP(Roster!$E$11,Team!$BL$2:$MK$128,20,FALSE)</f>
        <v>#N/A</v>
      </c>
      <c r="AH21" s="76" t="e">
        <f>HLOOKUP(Roster!$E$12,Team!$BL$2:$MK$128,20,FALSE)</f>
        <v>#N/A</v>
      </c>
      <c r="AI21" s="76" t="e">
        <f>HLOOKUP(Roster!$E$13,Team!$BL$2:$MK$128,20,FALSE)</f>
        <v>#N/A</v>
      </c>
      <c r="AJ21" s="76" t="e">
        <f>HLOOKUP(Roster!$E$14,Team!$BL$2:$MK$128,20,FALSE)</f>
        <v>#N/A</v>
      </c>
      <c r="AK21" s="76" t="e">
        <f>HLOOKUP(Roster!$E$15,Team!$BL$2:$MK$128,20,FALSE)</f>
        <v>#N/A</v>
      </c>
      <c r="AL21" s="76" t="e">
        <f>HLOOKUP(Roster!$E$16,Team!$BL$2:$MK$128,20,FALSE)</f>
        <v>#N/A</v>
      </c>
      <c r="AM21" s="76" t="e">
        <f>HLOOKUP(Roster!$E$17,Team!$BL$2:$MK$128,20,FALSE)</f>
        <v>#N/A</v>
      </c>
      <c r="AN21" s="76" t="e">
        <f>HLOOKUP(Roster!$E$18,Team!$BL$2:$MK$128,20,FALSE)</f>
        <v>#N/A</v>
      </c>
      <c r="AO21" s="76" t="e">
        <f>HLOOKUP(Roster!$E$19,Team!$BL$2:$MK$128,20,FALSE)</f>
        <v>#N/A</v>
      </c>
      <c r="AP21" s="76" t="e">
        <f>HLOOKUP(Roster!$E$20,Team!$BL$2:$MK$128,20,FALSE)</f>
        <v>#N/A</v>
      </c>
      <c r="AR21" s="108">
        <f t="shared" si="1"/>
        <v>0</v>
      </c>
      <c r="AS21" s="108">
        <f t="shared" si="2"/>
        <v>0</v>
      </c>
      <c r="AT21" s="108">
        <f t="shared" si="3"/>
        <v>0</v>
      </c>
      <c r="AU21" s="108">
        <f t="shared" si="4"/>
        <v>0</v>
      </c>
      <c r="AV21" s="108">
        <f t="shared" si="5"/>
        <v>0</v>
      </c>
      <c r="AW21" s="108">
        <f t="shared" si="6"/>
        <v>0</v>
      </c>
      <c r="AX21" s="108">
        <f t="shared" si="7"/>
        <v>0</v>
      </c>
      <c r="AY21" s="108">
        <f t="shared" si="8"/>
        <v>0</v>
      </c>
      <c r="AZ21" s="108">
        <f t="shared" si="9"/>
        <v>0</v>
      </c>
      <c r="BA21" s="108">
        <f t="shared" si="10"/>
        <v>0</v>
      </c>
      <c r="BB21" s="108">
        <f t="shared" si="11"/>
        <v>0</v>
      </c>
      <c r="BC21" s="108">
        <f t="shared" si="12"/>
        <v>0</v>
      </c>
      <c r="BD21" s="108">
        <f t="shared" si="13"/>
        <v>0</v>
      </c>
      <c r="BE21" s="108">
        <f t="shared" si="14"/>
        <v>0</v>
      </c>
      <c r="BF21" s="108">
        <f t="shared" si="15"/>
        <v>0</v>
      </c>
      <c r="BG21" s="108">
        <f t="shared" si="16"/>
        <v>0</v>
      </c>
      <c r="BL21" s="75" t="s">
        <v>70</v>
      </c>
      <c r="BM21" s="75" t="s">
        <v>247</v>
      </c>
      <c r="BN21" s="75" t="s">
        <v>70</v>
      </c>
      <c r="BO21" s="75" t="s">
        <v>70</v>
      </c>
      <c r="BP21" s="75" t="s">
        <v>70</v>
      </c>
      <c r="BQ21" s="75"/>
      <c r="BR21" s="75" t="s">
        <v>247</v>
      </c>
      <c r="BS21" s="75" t="s">
        <v>247</v>
      </c>
      <c r="BT21" s="75" t="s">
        <v>247</v>
      </c>
      <c r="BU21" s="75" t="s">
        <v>247</v>
      </c>
      <c r="BV21" s="75"/>
      <c r="BW21" s="81" t="s">
        <v>247</v>
      </c>
      <c r="BX21" s="81" t="s">
        <v>240</v>
      </c>
      <c r="BY21" s="81" t="s">
        <v>240</v>
      </c>
      <c r="BZ21" s="81" t="s">
        <v>240</v>
      </c>
      <c r="CA21" s="81" t="s">
        <v>240</v>
      </c>
      <c r="CB21" s="81" t="s">
        <v>247</v>
      </c>
      <c r="CC21" s="77"/>
      <c r="CD21" s="75" t="s">
        <v>70</v>
      </c>
      <c r="CE21" s="81" t="s">
        <v>240</v>
      </c>
      <c r="CF21" s="75" t="s">
        <v>70</v>
      </c>
      <c r="CG21" s="81" t="s">
        <v>240</v>
      </c>
      <c r="CH21" s="75" t="s">
        <v>70</v>
      </c>
      <c r="CI21" s="77"/>
      <c r="CJ21" s="81" t="s">
        <v>240</v>
      </c>
      <c r="CK21" s="81" t="s">
        <v>247</v>
      </c>
      <c r="CL21" s="81" t="s">
        <v>240</v>
      </c>
      <c r="CM21" s="81" t="s">
        <v>240</v>
      </c>
      <c r="CN21" s="81" t="s">
        <v>240</v>
      </c>
      <c r="CO21" s="81" t="s">
        <v>247</v>
      </c>
      <c r="CP21" s="81" t="s">
        <v>240</v>
      </c>
      <c r="CQ21" s="81" t="s">
        <v>240</v>
      </c>
      <c r="CR21" s="81" t="s">
        <v>240</v>
      </c>
      <c r="CS21" s="81" t="s">
        <v>240</v>
      </c>
      <c r="CT21" s="81" t="s">
        <v>240</v>
      </c>
      <c r="CU21" s="81"/>
      <c r="CV21" s="75" t="s">
        <v>247</v>
      </c>
      <c r="CW21" s="75" t="s">
        <v>247</v>
      </c>
      <c r="CX21" s="75" t="s">
        <v>247</v>
      </c>
      <c r="CY21" s="75" t="s">
        <v>247</v>
      </c>
      <c r="CZ21" s="75" t="s">
        <v>247</v>
      </c>
      <c r="DA21" s="81"/>
      <c r="DB21" s="75" t="s">
        <v>70</v>
      </c>
      <c r="DC21" s="75" t="s">
        <v>247</v>
      </c>
      <c r="DD21" s="75" t="s">
        <v>247</v>
      </c>
      <c r="DE21" s="75" t="s">
        <v>247</v>
      </c>
      <c r="DF21" s="75" t="s">
        <v>247</v>
      </c>
      <c r="DG21" s="75" t="s">
        <v>70</v>
      </c>
      <c r="DH21" s="75"/>
      <c r="DI21" s="75" t="s">
        <v>70</v>
      </c>
      <c r="DJ21" s="75" t="s">
        <v>247</v>
      </c>
      <c r="DK21" s="75" t="s">
        <v>247</v>
      </c>
      <c r="DL21" s="75" t="s">
        <v>70</v>
      </c>
      <c r="DM21" s="75" t="s">
        <v>70</v>
      </c>
      <c r="DN21" s="75" t="s">
        <v>70</v>
      </c>
      <c r="DO21" s="75"/>
      <c r="DP21" s="75" t="s">
        <v>70</v>
      </c>
      <c r="DQ21" s="75" t="s">
        <v>247</v>
      </c>
      <c r="DR21" s="75" t="s">
        <v>70</v>
      </c>
      <c r="DS21" s="75" t="s">
        <v>247</v>
      </c>
      <c r="DT21" s="75" t="s">
        <v>70</v>
      </c>
      <c r="DU21" s="75"/>
      <c r="DV21" s="75" t="s">
        <v>247</v>
      </c>
      <c r="DW21" s="75" t="s">
        <v>247</v>
      </c>
      <c r="DX21" s="75" t="s">
        <v>70</v>
      </c>
      <c r="DY21" s="75" t="s">
        <v>70</v>
      </c>
      <c r="DZ21" s="75" t="s">
        <v>247</v>
      </c>
      <c r="EA21" s="75" t="s">
        <v>247</v>
      </c>
      <c r="EB21" s="75" t="s">
        <v>70</v>
      </c>
      <c r="EC21" s="75" t="s">
        <v>247</v>
      </c>
      <c r="ED21" s="75" t="s">
        <v>247</v>
      </c>
      <c r="EE21" s="75"/>
      <c r="EF21" s="75" t="s">
        <v>70</v>
      </c>
      <c r="EG21" s="75" t="s">
        <v>247</v>
      </c>
      <c r="EH21" s="75" t="s">
        <v>70</v>
      </c>
      <c r="EI21" s="75" t="s">
        <v>247</v>
      </c>
      <c r="EJ21" s="75" t="s">
        <v>70</v>
      </c>
      <c r="EK21" s="75"/>
      <c r="EL21" s="75" t="s">
        <v>247</v>
      </c>
      <c r="EM21" s="75" t="s">
        <v>247</v>
      </c>
      <c r="EN21" s="75" t="s">
        <v>70</v>
      </c>
      <c r="EO21" s="75" t="s">
        <v>247</v>
      </c>
      <c r="EP21" s="75" t="s">
        <v>247</v>
      </c>
      <c r="EQ21" s="75"/>
      <c r="ER21" s="75" t="s">
        <v>70</v>
      </c>
      <c r="ES21" s="75" t="s">
        <v>247</v>
      </c>
      <c r="ET21" s="75" t="s">
        <v>247</v>
      </c>
      <c r="EU21" s="75" t="s">
        <v>247</v>
      </c>
      <c r="EV21" s="75" t="s">
        <v>70</v>
      </c>
      <c r="EW21" s="75" t="s">
        <v>70</v>
      </c>
      <c r="EX21" s="75" t="s">
        <v>70</v>
      </c>
      <c r="EY21" s="75"/>
      <c r="EZ21" s="75" t="s">
        <v>70</v>
      </c>
      <c r="FA21" s="75" t="s">
        <v>247</v>
      </c>
      <c r="FB21" s="75" t="s">
        <v>247</v>
      </c>
      <c r="FC21" s="75" t="s">
        <v>70</v>
      </c>
      <c r="FD21" s="75" t="s">
        <v>70</v>
      </c>
      <c r="FE21" s="75" t="s">
        <v>70</v>
      </c>
      <c r="FF21" s="75"/>
      <c r="FG21" s="81" t="s">
        <v>240</v>
      </c>
      <c r="FH21" s="81" t="s">
        <v>247</v>
      </c>
      <c r="FI21" s="81" t="s">
        <v>240</v>
      </c>
      <c r="FJ21" s="81" t="s">
        <v>240</v>
      </c>
      <c r="FK21" s="81" t="s">
        <v>240</v>
      </c>
      <c r="FL21" s="75"/>
      <c r="FM21" s="75" t="s">
        <v>247</v>
      </c>
      <c r="FN21" s="75" t="s">
        <v>247</v>
      </c>
      <c r="FO21" s="75" t="s">
        <v>70</v>
      </c>
      <c r="FP21" s="75" t="s">
        <v>70</v>
      </c>
      <c r="FQ21" s="75" t="s">
        <v>247</v>
      </c>
      <c r="FR21" s="75"/>
      <c r="FS21" s="75" t="s">
        <v>70</v>
      </c>
      <c r="FT21" s="75" t="s">
        <v>247</v>
      </c>
      <c r="FU21" s="75" t="s">
        <v>70</v>
      </c>
      <c r="FV21" s="75" t="s">
        <v>247</v>
      </c>
      <c r="FW21" s="75" t="s">
        <v>70</v>
      </c>
      <c r="FX21" s="75" t="s">
        <v>70</v>
      </c>
      <c r="FY21" s="75"/>
      <c r="FZ21" s="75" t="s">
        <v>247</v>
      </c>
      <c r="GA21" s="75" t="s">
        <v>352</v>
      </c>
      <c r="GB21" s="75" t="s">
        <v>247</v>
      </c>
      <c r="GC21" s="75" t="s">
        <v>247</v>
      </c>
      <c r="GD21" s="75" t="s">
        <v>70</v>
      </c>
      <c r="GE21" s="75" t="s">
        <v>70</v>
      </c>
      <c r="GF21" s="75" t="s">
        <v>247</v>
      </c>
      <c r="GG21" s="75"/>
      <c r="GH21" s="81" t="s">
        <v>240</v>
      </c>
      <c r="GI21" s="81" t="s">
        <v>247</v>
      </c>
      <c r="GJ21" s="81" t="s">
        <v>240</v>
      </c>
      <c r="GK21" s="81" t="s">
        <v>240</v>
      </c>
      <c r="GL21" s="81" t="s">
        <v>240</v>
      </c>
      <c r="GM21" s="81"/>
      <c r="GN21" s="81" t="s">
        <v>224</v>
      </c>
      <c r="GO21" s="75" t="s">
        <v>247</v>
      </c>
      <c r="GP21" s="75" t="s">
        <v>247</v>
      </c>
      <c r="GQ21" s="81" t="s">
        <v>224</v>
      </c>
      <c r="GR21" s="81"/>
      <c r="GS21" s="75" t="s">
        <v>70</v>
      </c>
      <c r="GT21" s="75" t="s">
        <v>247</v>
      </c>
      <c r="GU21" s="75" t="s">
        <v>70</v>
      </c>
      <c r="GV21" s="75" t="s">
        <v>70</v>
      </c>
      <c r="GW21" s="75" t="s">
        <v>70</v>
      </c>
      <c r="GX21" s="75" t="s">
        <v>247</v>
      </c>
      <c r="GY21" s="75" t="s">
        <v>70</v>
      </c>
      <c r="GZ21" s="75" t="s">
        <v>70</v>
      </c>
      <c r="HA21" s="75" t="s">
        <v>70</v>
      </c>
      <c r="HB21" s="75" t="s">
        <v>70</v>
      </c>
      <c r="HC21" s="75" t="s">
        <v>247</v>
      </c>
      <c r="HD21" s="75" t="s">
        <v>70</v>
      </c>
      <c r="HE21" s="75"/>
      <c r="HF21" s="75" t="s">
        <v>70</v>
      </c>
      <c r="HG21" s="75" t="s">
        <v>247</v>
      </c>
      <c r="HH21" s="75" t="s">
        <v>247</v>
      </c>
      <c r="HI21" s="75" t="s">
        <v>70</v>
      </c>
      <c r="HJ21" s="75" t="s">
        <v>70</v>
      </c>
      <c r="HK21" s="75" t="s">
        <v>247</v>
      </c>
      <c r="HL21" s="75" t="s">
        <v>70</v>
      </c>
      <c r="HM21" s="75"/>
      <c r="HN21" s="75" t="s">
        <v>70</v>
      </c>
      <c r="HO21" s="75" t="s">
        <v>70</v>
      </c>
      <c r="HP21" s="75" t="s">
        <v>247</v>
      </c>
      <c r="HQ21" s="75" t="s">
        <v>247</v>
      </c>
      <c r="HR21" s="75" t="s">
        <v>70</v>
      </c>
      <c r="HS21" s="75" t="s">
        <v>70</v>
      </c>
      <c r="HT21" s="75"/>
      <c r="HU21" s="75" t="s">
        <v>70</v>
      </c>
      <c r="HV21" s="75" t="s">
        <v>247</v>
      </c>
      <c r="HW21" s="75" t="s">
        <v>70</v>
      </c>
      <c r="HX21" s="75" t="s">
        <v>70</v>
      </c>
      <c r="HY21" s="75" t="s">
        <v>70</v>
      </c>
      <c r="HZ21" s="75" t="s">
        <v>70</v>
      </c>
      <c r="IA21" s="75"/>
      <c r="IB21" s="81" t="s">
        <v>240</v>
      </c>
      <c r="IC21" s="81" t="s">
        <v>247</v>
      </c>
      <c r="ID21" s="81" t="s">
        <v>247</v>
      </c>
      <c r="IE21" s="81" t="s">
        <v>247</v>
      </c>
      <c r="IF21" s="81" t="s">
        <v>240</v>
      </c>
      <c r="IG21" s="81" t="s">
        <v>240</v>
      </c>
      <c r="IH21" s="81"/>
      <c r="II21" s="75" t="s">
        <v>247</v>
      </c>
      <c r="IJ21" s="75" t="s">
        <v>247</v>
      </c>
      <c r="IK21" s="75" t="s">
        <v>247</v>
      </c>
      <c r="IL21" s="75" t="s">
        <v>247</v>
      </c>
      <c r="IM21" s="75" t="s">
        <v>247</v>
      </c>
      <c r="IN21" s="81"/>
      <c r="IO21" s="81" t="s">
        <v>224</v>
      </c>
      <c r="IP21" s="75" t="s">
        <v>70</v>
      </c>
      <c r="IQ21" s="81" t="s">
        <v>224</v>
      </c>
      <c r="IR21" s="81" t="s">
        <v>224</v>
      </c>
      <c r="IS21" s="75" t="s">
        <v>70</v>
      </c>
      <c r="IT21" s="75" t="s">
        <v>247</v>
      </c>
      <c r="IU21" s="81" t="s">
        <v>224</v>
      </c>
      <c r="IV21" s="81"/>
      <c r="IW21" s="75" t="s">
        <v>70</v>
      </c>
      <c r="IX21" s="75" t="s">
        <v>70</v>
      </c>
      <c r="IY21" s="75" t="s">
        <v>247</v>
      </c>
      <c r="IZ21" s="75" t="s">
        <v>70</v>
      </c>
      <c r="JA21" s="75" t="s">
        <v>70</v>
      </c>
      <c r="JB21" s="81"/>
      <c r="JC21" s="81" t="s">
        <v>240</v>
      </c>
      <c r="JD21" s="81" t="s">
        <v>70</v>
      </c>
      <c r="JE21" s="81" t="s">
        <v>240</v>
      </c>
      <c r="JF21" s="81" t="s">
        <v>247</v>
      </c>
      <c r="JG21" s="81" t="s">
        <v>247</v>
      </c>
      <c r="JH21" s="81" t="s">
        <v>247</v>
      </c>
      <c r="JI21" s="81" t="s">
        <v>247</v>
      </c>
      <c r="JJ21" s="81" t="s">
        <v>240</v>
      </c>
      <c r="JK21" s="81" t="s">
        <v>240</v>
      </c>
      <c r="JL21" s="81"/>
      <c r="JM21" s="75" t="s">
        <v>70</v>
      </c>
      <c r="JN21" s="75" t="s">
        <v>247</v>
      </c>
      <c r="JO21" s="75" t="s">
        <v>70</v>
      </c>
      <c r="JP21" s="81"/>
      <c r="JQ21" s="75" t="s">
        <v>70</v>
      </c>
      <c r="JR21" s="75" t="s">
        <v>247</v>
      </c>
      <c r="JS21" s="75" t="s">
        <v>247</v>
      </c>
      <c r="JT21" s="75" t="s">
        <v>247</v>
      </c>
      <c r="JU21" s="75" t="s">
        <v>70</v>
      </c>
      <c r="JV21" s="75" t="s">
        <v>70</v>
      </c>
    </row>
    <row r="22" spans="1:282" x14ac:dyDescent="0.15">
      <c r="A22" s="214" t="s">
        <v>494</v>
      </c>
      <c r="B22" s="6" t="s">
        <v>536</v>
      </c>
      <c r="C22" s="6">
        <v>50000</v>
      </c>
      <c r="D22" s="6">
        <v>12</v>
      </c>
      <c r="E22" s="6">
        <v>6</v>
      </c>
      <c r="F22" s="6">
        <v>3</v>
      </c>
      <c r="G22" s="6" t="s">
        <v>36</v>
      </c>
      <c r="H22" s="6" t="s">
        <v>37</v>
      </c>
      <c r="I22" s="6" t="s">
        <v>46</v>
      </c>
      <c r="J22" s="21"/>
      <c r="K22" s="21">
        <v>1</v>
      </c>
      <c r="L22" s="21">
        <v>2</v>
      </c>
      <c r="M22" s="21">
        <v>2</v>
      </c>
      <c r="N22" s="21">
        <v>0</v>
      </c>
      <c r="O22" s="21">
        <v>1</v>
      </c>
      <c r="P22" s="21" t="str">
        <f>IF(TeamT[[#This Row],[General]]+TeamT[[#This Row],[Agility]]+TeamT[[#This Row],[Strength]]+TeamT[[#This Row],[Passing]]+TeamT[[#This Row],[Mutation]]&gt;0,IF(TeamT[[#This Row],[General]]=1,"G","")&amp;IF(TeamT[[#This Row],[Agility]]=1,"A","")&amp;IF(TeamT[[#This Row],[Strength]]=1,"S","")&amp;IF(TeamT[[#This Row],[Passing]]=1,"P","")&amp;IF(TeamT[[#This Row],[Mutation]]=1,"M",""),"Star")</f>
        <v>GM</v>
      </c>
      <c r="Q22" s="21" t="str">
        <f>IF(TeamT[[#This Row],[General]]=2,"G","")&amp;IF(TeamT[[#This Row],[Agility]]=2,"A","")&amp;IF(TeamT[[#This Row],[Strength]]=2,"S","")&amp;IF(TeamT[[#This Row],[Passing]]=2,"P","")&amp;IF(TeamT[[#This Row],[Mutation]]=2,"M","")</f>
        <v>AS</v>
      </c>
      <c r="R22" s="212"/>
      <c r="S22" s="21">
        <v>3</v>
      </c>
      <c r="T22" s="21">
        <v>4</v>
      </c>
      <c r="U22" s="21">
        <v>9</v>
      </c>
      <c r="AA22" s="76" t="e">
        <f>HLOOKUP(Roster!$E$5,Team!$BL$2:$MK$128,21,FALSE)</f>
        <v>#N/A</v>
      </c>
      <c r="AB22" s="76" t="e">
        <f>HLOOKUP(Roster!$E$6,Team!$BL$2:$MK$128,21,FALSE)</f>
        <v>#N/A</v>
      </c>
      <c r="AC22" s="76" t="e">
        <f>HLOOKUP(Roster!$E$7,Team!$BL$2:$MK$128,21,FALSE)</f>
        <v>#N/A</v>
      </c>
      <c r="AD22" s="76" t="e">
        <f>HLOOKUP(Roster!$E$8,Team!$BL$2:$MK$128,21,FALSE)</f>
        <v>#N/A</v>
      </c>
      <c r="AE22" s="76" t="e">
        <f>HLOOKUP(Roster!$E$9,Team!$BL$2:$MK$128,21,FALSE)</f>
        <v>#N/A</v>
      </c>
      <c r="AF22" s="76" t="e">
        <f>HLOOKUP(Roster!$E$10,Team!$BL$2:$MK$128,21,FALSE)</f>
        <v>#N/A</v>
      </c>
      <c r="AG22" s="76" t="e">
        <f>HLOOKUP(Roster!$E$11,Team!$BL$2:$MK$128,21,FALSE)</f>
        <v>#N/A</v>
      </c>
      <c r="AH22" s="76" t="e">
        <f>HLOOKUP(Roster!$E$12,Team!$BL$2:$MK$128,21,FALSE)</f>
        <v>#N/A</v>
      </c>
      <c r="AI22" s="76" t="e">
        <f>HLOOKUP(Roster!$E$13,Team!$BL$2:$MK$128,21,FALSE)</f>
        <v>#N/A</v>
      </c>
      <c r="AJ22" s="76" t="e">
        <f>HLOOKUP(Roster!$E$14,Team!$BL$2:$MK$128,21,FALSE)</f>
        <v>#N/A</v>
      </c>
      <c r="AK22" s="76" t="e">
        <f>HLOOKUP(Roster!$E$15,Team!$BL$2:$MK$128,21,FALSE)</f>
        <v>#N/A</v>
      </c>
      <c r="AL22" s="76" t="e">
        <f>HLOOKUP(Roster!$E$16,Team!$BL$2:$MK$128,21,FALSE)</f>
        <v>#N/A</v>
      </c>
      <c r="AM22" s="76" t="e">
        <f>HLOOKUP(Roster!$E$17,Team!$BL$2:$MK$128,21,FALSE)</f>
        <v>#N/A</v>
      </c>
      <c r="AN22" s="76" t="e">
        <f>HLOOKUP(Roster!$E$18,Team!$BL$2:$MK$128,21,FALSE)</f>
        <v>#N/A</v>
      </c>
      <c r="AO22" s="76" t="e">
        <f>HLOOKUP(Roster!$E$19,Team!$BL$2:$MK$128,21,FALSE)</f>
        <v>#N/A</v>
      </c>
      <c r="AP22" s="76" t="e">
        <f>HLOOKUP(Roster!$E$20,Team!$BL$2:$MK$128,21,FALSE)</f>
        <v>#N/A</v>
      </c>
      <c r="AR22" s="108">
        <f t="shared" si="1"/>
        <v>0</v>
      </c>
      <c r="AS22" s="108">
        <f t="shared" si="2"/>
        <v>0</v>
      </c>
      <c r="AT22" s="108">
        <f t="shared" si="3"/>
        <v>0</v>
      </c>
      <c r="AU22" s="108">
        <f t="shared" si="4"/>
        <v>0</v>
      </c>
      <c r="AV22" s="108">
        <f t="shared" si="5"/>
        <v>0</v>
      </c>
      <c r="AW22" s="108">
        <f t="shared" si="6"/>
        <v>0</v>
      </c>
      <c r="AX22" s="108">
        <f t="shared" si="7"/>
        <v>0</v>
      </c>
      <c r="AY22" s="108">
        <f t="shared" si="8"/>
        <v>0</v>
      </c>
      <c r="AZ22" s="108">
        <f t="shared" si="9"/>
        <v>0</v>
      </c>
      <c r="BA22" s="108">
        <f t="shared" si="10"/>
        <v>0</v>
      </c>
      <c r="BB22" s="108">
        <f t="shared" si="11"/>
        <v>0</v>
      </c>
      <c r="BC22" s="108">
        <f t="shared" si="12"/>
        <v>0</v>
      </c>
      <c r="BD22" s="108">
        <f t="shared" si="13"/>
        <v>0</v>
      </c>
      <c r="BE22" s="108">
        <f t="shared" si="14"/>
        <v>0</v>
      </c>
      <c r="BF22" s="108">
        <f t="shared" si="15"/>
        <v>0</v>
      </c>
      <c r="BG22" s="108">
        <f t="shared" si="16"/>
        <v>0</v>
      </c>
      <c r="BL22" s="75" t="s">
        <v>232</v>
      </c>
      <c r="BM22" s="75" t="s">
        <v>268</v>
      </c>
      <c r="BN22" s="75" t="s">
        <v>232</v>
      </c>
      <c r="BO22" s="75" t="s">
        <v>232</v>
      </c>
      <c r="BP22" s="75" t="s">
        <v>232</v>
      </c>
      <c r="BQ22" s="75"/>
      <c r="BR22" s="75" t="s">
        <v>268</v>
      </c>
      <c r="BS22" s="75" t="s">
        <v>268</v>
      </c>
      <c r="BT22" s="75" t="s">
        <v>268</v>
      </c>
      <c r="BU22" s="75" t="s">
        <v>268</v>
      </c>
      <c r="BV22" s="75"/>
      <c r="BW22" s="81" t="s">
        <v>268</v>
      </c>
      <c r="BX22" s="81" t="s">
        <v>241</v>
      </c>
      <c r="BY22" s="81" t="s">
        <v>241</v>
      </c>
      <c r="BZ22" s="81" t="s">
        <v>241</v>
      </c>
      <c r="CA22" s="81" t="s">
        <v>241</v>
      </c>
      <c r="CB22" s="81" t="s">
        <v>268</v>
      </c>
      <c r="CC22" s="77"/>
      <c r="CD22" s="75" t="s">
        <v>232</v>
      </c>
      <c r="CE22" s="81" t="s">
        <v>241</v>
      </c>
      <c r="CF22" s="75" t="s">
        <v>232</v>
      </c>
      <c r="CG22" s="81" t="s">
        <v>241</v>
      </c>
      <c r="CH22" s="75" t="s">
        <v>232</v>
      </c>
      <c r="CI22" s="77"/>
      <c r="CJ22" s="81" t="s">
        <v>241</v>
      </c>
      <c r="CK22" s="81" t="s">
        <v>268</v>
      </c>
      <c r="CL22" s="81" t="s">
        <v>241</v>
      </c>
      <c r="CM22" s="81" t="s">
        <v>241</v>
      </c>
      <c r="CN22" s="81" t="s">
        <v>241</v>
      </c>
      <c r="CO22" s="81" t="s">
        <v>268</v>
      </c>
      <c r="CP22" s="81" t="s">
        <v>241</v>
      </c>
      <c r="CQ22" s="81" t="s">
        <v>241</v>
      </c>
      <c r="CR22" s="81" t="s">
        <v>241</v>
      </c>
      <c r="CS22" s="81" t="s">
        <v>241</v>
      </c>
      <c r="CT22" s="81" t="s">
        <v>241</v>
      </c>
      <c r="CU22" s="81"/>
      <c r="CV22" s="75" t="s">
        <v>268</v>
      </c>
      <c r="CW22" s="75" t="s">
        <v>268</v>
      </c>
      <c r="CX22" s="75" t="s">
        <v>268</v>
      </c>
      <c r="CY22" s="75" t="s">
        <v>268</v>
      </c>
      <c r="CZ22" s="75" t="s">
        <v>268</v>
      </c>
      <c r="DA22" s="81"/>
      <c r="DB22" s="75" t="s">
        <v>232</v>
      </c>
      <c r="DC22" s="75" t="s">
        <v>268</v>
      </c>
      <c r="DD22" s="75" t="s">
        <v>268</v>
      </c>
      <c r="DE22" s="75" t="s">
        <v>268</v>
      </c>
      <c r="DF22" s="75" t="s">
        <v>268</v>
      </c>
      <c r="DG22" s="75" t="s">
        <v>232</v>
      </c>
      <c r="DH22" s="75"/>
      <c r="DI22" s="75" t="s">
        <v>232</v>
      </c>
      <c r="DJ22" s="75" t="s">
        <v>268</v>
      </c>
      <c r="DK22" s="75" t="s">
        <v>268</v>
      </c>
      <c r="DL22" s="75" t="s">
        <v>232</v>
      </c>
      <c r="DM22" s="75" t="s">
        <v>232</v>
      </c>
      <c r="DN22" s="75" t="s">
        <v>232</v>
      </c>
      <c r="DO22" s="75"/>
      <c r="DP22" s="75" t="s">
        <v>232</v>
      </c>
      <c r="DQ22" s="75" t="s">
        <v>268</v>
      </c>
      <c r="DR22" s="75" t="s">
        <v>232</v>
      </c>
      <c r="DS22" s="75" t="s">
        <v>268</v>
      </c>
      <c r="DT22" s="75" t="s">
        <v>232</v>
      </c>
      <c r="DU22" s="75"/>
      <c r="DV22" s="75" t="s">
        <v>268</v>
      </c>
      <c r="DW22" s="75" t="s">
        <v>268</v>
      </c>
      <c r="DX22" s="75" t="s">
        <v>232</v>
      </c>
      <c r="DY22" s="75" t="s">
        <v>232</v>
      </c>
      <c r="DZ22" s="75" t="s">
        <v>268</v>
      </c>
      <c r="EA22" s="75" t="s">
        <v>268</v>
      </c>
      <c r="EB22" s="75" t="s">
        <v>232</v>
      </c>
      <c r="EC22" s="75" t="s">
        <v>268</v>
      </c>
      <c r="ED22" s="75" t="s">
        <v>268</v>
      </c>
      <c r="EE22" s="75"/>
      <c r="EF22" s="75" t="s">
        <v>232</v>
      </c>
      <c r="EG22" s="75" t="s">
        <v>268</v>
      </c>
      <c r="EH22" s="75" t="s">
        <v>232</v>
      </c>
      <c r="EI22" s="75" t="s">
        <v>268</v>
      </c>
      <c r="EJ22" s="75" t="s">
        <v>232</v>
      </c>
      <c r="EK22" s="75"/>
      <c r="EL22" s="75" t="s">
        <v>268</v>
      </c>
      <c r="EM22" s="75" t="s">
        <v>268</v>
      </c>
      <c r="EN22" s="75" t="s">
        <v>232</v>
      </c>
      <c r="EO22" s="75" t="s">
        <v>268</v>
      </c>
      <c r="EP22" s="75" t="s">
        <v>268</v>
      </c>
      <c r="EQ22" s="75"/>
      <c r="ER22" s="75" t="s">
        <v>232</v>
      </c>
      <c r="ES22" s="75" t="s">
        <v>268</v>
      </c>
      <c r="ET22" s="75" t="s">
        <v>268</v>
      </c>
      <c r="EU22" s="75" t="s">
        <v>268</v>
      </c>
      <c r="EV22" s="75" t="s">
        <v>232</v>
      </c>
      <c r="EW22" s="75" t="s">
        <v>232</v>
      </c>
      <c r="EX22" s="75" t="s">
        <v>232</v>
      </c>
      <c r="EY22" s="75"/>
      <c r="EZ22" s="75" t="s">
        <v>232</v>
      </c>
      <c r="FA22" s="75" t="s">
        <v>268</v>
      </c>
      <c r="FB22" s="75" t="s">
        <v>268</v>
      </c>
      <c r="FC22" s="75" t="s">
        <v>232</v>
      </c>
      <c r="FD22" s="75" t="s">
        <v>232</v>
      </c>
      <c r="FE22" s="75" t="s">
        <v>232</v>
      </c>
      <c r="FF22" s="75"/>
      <c r="FG22" s="81" t="s">
        <v>241</v>
      </c>
      <c r="FH22" s="81" t="s">
        <v>268</v>
      </c>
      <c r="FI22" s="81" t="s">
        <v>241</v>
      </c>
      <c r="FJ22" s="81" t="s">
        <v>241</v>
      </c>
      <c r="FK22" s="81" t="s">
        <v>241</v>
      </c>
      <c r="FL22" s="75"/>
      <c r="FM22" s="75" t="s">
        <v>268</v>
      </c>
      <c r="FN22" s="75" t="s">
        <v>268</v>
      </c>
      <c r="FO22" s="75" t="s">
        <v>232</v>
      </c>
      <c r="FP22" s="75" t="s">
        <v>232</v>
      </c>
      <c r="FQ22" s="75" t="s">
        <v>268</v>
      </c>
      <c r="FR22" s="75"/>
      <c r="FS22" s="75" t="s">
        <v>232</v>
      </c>
      <c r="FT22" s="75" t="s">
        <v>268</v>
      </c>
      <c r="FU22" s="75" t="s">
        <v>232</v>
      </c>
      <c r="FV22" s="75" t="s">
        <v>268</v>
      </c>
      <c r="FW22" s="75" t="s">
        <v>232</v>
      </c>
      <c r="FX22" s="75" t="s">
        <v>232</v>
      </c>
      <c r="FY22" s="75"/>
      <c r="FZ22" s="75" t="s">
        <v>268</v>
      </c>
      <c r="GA22" s="74" t="s">
        <v>353</v>
      </c>
      <c r="GB22" s="75" t="s">
        <v>268</v>
      </c>
      <c r="GC22" s="75" t="s">
        <v>268</v>
      </c>
      <c r="GD22" s="75" t="s">
        <v>232</v>
      </c>
      <c r="GE22" s="75" t="s">
        <v>232</v>
      </c>
      <c r="GF22" s="75" t="s">
        <v>268</v>
      </c>
      <c r="GG22" s="75"/>
      <c r="GH22" s="81" t="s">
        <v>241</v>
      </c>
      <c r="GI22" s="81" t="s">
        <v>268</v>
      </c>
      <c r="GJ22" s="81" t="s">
        <v>241</v>
      </c>
      <c r="GK22" s="81" t="s">
        <v>241</v>
      </c>
      <c r="GL22" s="81" t="s">
        <v>241</v>
      </c>
      <c r="GM22" s="81"/>
      <c r="GN22" s="80" t="s">
        <v>259</v>
      </c>
      <c r="GO22" s="75" t="s">
        <v>268</v>
      </c>
      <c r="GP22" s="75" t="s">
        <v>268</v>
      </c>
      <c r="GQ22" s="80" t="s">
        <v>259</v>
      </c>
      <c r="GR22" s="80"/>
      <c r="GS22" s="75" t="s">
        <v>232</v>
      </c>
      <c r="GT22" s="75" t="s">
        <v>268</v>
      </c>
      <c r="GU22" s="75" t="s">
        <v>232</v>
      </c>
      <c r="GV22" s="75" t="s">
        <v>232</v>
      </c>
      <c r="GW22" s="75" t="s">
        <v>232</v>
      </c>
      <c r="GX22" s="75" t="s">
        <v>268</v>
      </c>
      <c r="GY22" s="75" t="s">
        <v>232</v>
      </c>
      <c r="GZ22" s="75" t="s">
        <v>232</v>
      </c>
      <c r="HA22" s="75" t="s">
        <v>232</v>
      </c>
      <c r="HB22" s="75" t="s">
        <v>232</v>
      </c>
      <c r="HC22" s="75" t="s">
        <v>268</v>
      </c>
      <c r="HD22" s="75" t="s">
        <v>232</v>
      </c>
      <c r="HE22" s="75"/>
      <c r="HF22" s="75" t="s">
        <v>232</v>
      </c>
      <c r="HG22" s="75" t="s">
        <v>268</v>
      </c>
      <c r="HH22" s="75" t="s">
        <v>268</v>
      </c>
      <c r="HI22" s="75" t="s">
        <v>232</v>
      </c>
      <c r="HJ22" s="75" t="s">
        <v>232</v>
      </c>
      <c r="HK22" s="75" t="s">
        <v>268</v>
      </c>
      <c r="HL22" s="75" t="s">
        <v>232</v>
      </c>
      <c r="HM22" s="75"/>
      <c r="HN22" s="75" t="s">
        <v>232</v>
      </c>
      <c r="HO22" s="75" t="s">
        <v>232</v>
      </c>
      <c r="HP22" s="75" t="s">
        <v>268</v>
      </c>
      <c r="HQ22" s="75" t="s">
        <v>268</v>
      </c>
      <c r="HR22" s="75" t="s">
        <v>232</v>
      </c>
      <c r="HS22" s="75" t="s">
        <v>232</v>
      </c>
      <c r="HT22" s="75"/>
      <c r="HU22" s="75" t="s">
        <v>232</v>
      </c>
      <c r="HV22" s="75" t="s">
        <v>268</v>
      </c>
      <c r="HW22" s="75" t="s">
        <v>232</v>
      </c>
      <c r="HX22" s="75" t="s">
        <v>232</v>
      </c>
      <c r="HY22" s="75" t="s">
        <v>232</v>
      </c>
      <c r="HZ22" s="75" t="s">
        <v>232</v>
      </c>
      <c r="IA22" s="75"/>
      <c r="IB22" s="81" t="s">
        <v>241</v>
      </c>
      <c r="IC22" s="81" t="s">
        <v>268</v>
      </c>
      <c r="ID22" s="81" t="s">
        <v>268</v>
      </c>
      <c r="IE22" s="81" t="s">
        <v>268</v>
      </c>
      <c r="IF22" s="81" t="s">
        <v>241</v>
      </c>
      <c r="IG22" s="81" t="s">
        <v>241</v>
      </c>
      <c r="IH22" s="81"/>
      <c r="II22" s="75" t="s">
        <v>268</v>
      </c>
      <c r="IJ22" s="75" t="s">
        <v>268</v>
      </c>
      <c r="IK22" s="75" t="s">
        <v>268</v>
      </c>
      <c r="IL22" s="75" t="s">
        <v>268</v>
      </c>
      <c r="IM22" s="75" t="s">
        <v>268</v>
      </c>
      <c r="IN22" s="81"/>
      <c r="IO22" s="80" t="s">
        <v>259</v>
      </c>
      <c r="IP22" s="75" t="s">
        <v>232</v>
      </c>
      <c r="IQ22" s="80" t="s">
        <v>259</v>
      </c>
      <c r="IR22" s="80" t="s">
        <v>259</v>
      </c>
      <c r="IS22" s="75" t="s">
        <v>232</v>
      </c>
      <c r="IT22" s="75" t="s">
        <v>268</v>
      </c>
      <c r="IU22" s="80" t="s">
        <v>259</v>
      </c>
      <c r="IV22" s="80"/>
      <c r="IW22" s="75" t="s">
        <v>232</v>
      </c>
      <c r="IX22" s="75" t="s">
        <v>232</v>
      </c>
      <c r="IY22" s="75" t="s">
        <v>268</v>
      </c>
      <c r="IZ22" s="75" t="s">
        <v>232</v>
      </c>
      <c r="JA22" s="75" t="s">
        <v>232</v>
      </c>
      <c r="JB22" s="80"/>
      <c r="JC22" s="81" t="s">
        <v>241</v>
      </c>
      <c r="JD22" s="81" t="s">
        <v>232</v>
      </c>
      <c r="JE22" s="81" t="s">
        <v>241</v>
      </c>
      <c r="JF22" s="81" t="s">
        <v>268</v>
      </c>
      <c r="JG22" s="81" t="s">
        <v>268</v>
      </c>
      <c r="JH22" s="81" t="s">
        <v>268</v>
      </c>
      <c r="JI22" s="81" t="s">
        <v>268</v>
      </c>
      <c r="JJ22" s="81" t="s">
        <v>241</v>
      </c>
      <c r="JK22" s="81" t="s">
        <v>241</v>
      </c>
      <c r="JL22" s="81"/>
      <c r="JM22" s="75" t="s">
        <v>232</v>
      </c>
      <c r="JN22" s="75" t="s">
        <v>268</v>
      </c>
      <c r="JO22" s="75" t="s">
        <v>232</v>
      </c>
      <c r="JP22" s="81"/>
      <c r="JQ22" s="75" t="s">
        <v>232</v>
      </c>
      <c r="JR22" s="75" t="s">
        <v>268</v>
      </c>
      <c r="JS22" s="75" t="s">
        <v>268</v>
      </c>
      <c r="JT22" s="75" t="s">
        <v>268</v>
      </c>
      <c r="JU22" s="75" t="s">
        <v>232</v>
      </c>
      <c r="JV22" s="75" t="s">
        <v>232</v>
      </c>
    </row>
    <row r="23" spans="1:282" x14ac:dyDescent="0.15">
      <c r="A23" s="214" t="s">
        <v>55</v>
      </c>
      <c r="B23" s="6" t="s">
        <v>536</v>
      </c>
      <c r="C23" s="6">
        <v>75000</v>
      </c>
      <c r="D23" s="6">
        <v>1</v>
      </c>
      <c r="E23" s="6">
        <v>6</v>
      </c>
      <c r="F23" s="6">
        <v>3</v>
      </c>
      <c r="G23" s="6" t="s">
        <v>36</v>
      </c>
      <c r="H23" s="6" t="s">
        <v>36</v>
      </c>
      <c r="I23" s="6" t="s">
        <v>46</v>
      </c>
      <c r="J23" s="21" t="s">
        <v>704</v>
      </c>
      <c r="K23" s="21">
        <v>1</v>
      </c>
      <c r="L23" s="21">
        <v>2</v>
      </c>
      <c r="M23" s="21">
        <v>2</v>
      </c>
      <c r="N23" s="21">
        <v>1</v>
      </c>
      <c r="O23" s="21">
        <v>1</v>
      </c>
      <c r="P23" s="21" t="str">
        <f>IF(TeamT[[#This Row],[General]]+TeamT[[#This Row],[Agility]]+TeamT[[#This Row],[Strength]]+TeamT[[#This Row],[Passing]]+TeamT[[#This Row],[Mutation]]&gt;0,IF(TeamT[[#This Row],[General]]=1,"G","")&amp;IF(TeamT[[#This Row],[Agility]]=1,"A","")&amp;IF(TeamT[[#This Row],[Strength]]=1,"S","")&amp;IF(TeamT[[#This Row],[Passing]]=1,"P","")&amp;IF(TeamT[[#This Row],[Mutation]]=1,"M",""),"Star")</f>
        <v>GPM</v>
      </c>
      <c r="Q23" s="21" t="str">
        <f>IF(TeamT[[#This Row],[General]]=2,"G","")&amp;IF(TeamT[[#This Row],[Agility]]=2,"A","")&amp;IF(TeamT[[#This Row],[Strength]]=2,"S","")&amp;IF(TeamT[[#This Row],[Passing]]=2,"P","")&amp;IF(TeamT[[#This Row],[Mutation]]=2,"M","")</f>
        <v>AS</v>
      </c>
      <c r="R23" s="212"/>
      <c r="S23" s="21">
        <v>3</v>
      </c>
      <c r="T23" s="21">
        <v>3</v>
      </c>
      <c r="U23" s="21">
        <v>9</v>
      </c>
      <c r="AA23" s="76" t="e">
        <f>HLOOKUP(Roster!$E$5,Team!$BL$2:$MK$128,22,FALSE)</f>
        <v>#N/A</v>
      </c>
      <c r="AB23" s="76" t="e">
        <f>HLOOKUP(Roster!$E$6,Team!$BL$2:$MK$128,22,FALSE)</f>
        <v>#N/A</v>
      </c>
      <c r="AC23" s="76" t="e">
        <f>HLOOKUP(Roster!$E$7,Team!$BL$2:$MK$128,22,FALSE)</f>
        <v>#N/A</v>
      </c>
      <c r="AD23" s="76" t="e">
        <f>HLOOKUP(Roster!$E$8,Team!$BL$2:$MK$128,22,FALSE)</f>
        <v>#N/A</v>
      </c>
      <c r="AE23" s="76" t="e">
        <f>HLOOKUP(Roster!$E$9,Team!$BL$2:$MK$128,22,FALSE)</f>
        <v>#N/A</v>
      </c>
      <c r="AF23" s="76" t="e">
        <f>HLOOKUP(Roster!$E$10,Team!$BL$2:$MK$128,22,FALSE)</f>
        <v>#N/A</v>
      </c>
      <c r="AG23" s="76" t="e">
        <f>HLOOKUP(Roster!$E$11,Team!$BL$2:$MK$128,22,FALSE)</f>
        <v>#N/A</v>
      </c>
      <c r="AH23" s="76" t="e">
        <f>HLOOKUP(Roster!$E$12,Team!$BL$2:$MK$128,22,FALSE)</f>
        <v>#N/A</v>
      </c>
      <c r="AI23" s="76" t="e">
        <f>HLOOKUP(Roster!$E$13,Team!$BL$2:$MK$128,22,FALSE)</f>
        <v>#N/A</v>
      </c>
      <c r="AJ23" s="76" t="e">
        <f>HLOOKUP(Roster!$E$14,Team!$BL$2:$MK$128,22,FALSE)</f>
        <v>#N/A</v>
      </c>
      <c r="AK23" s="76" t="e">
        <f>HLOOKUP(Roster!$E$15,Team!$BL$2:$MK$128,22,FALSE)</f>
        <v>#N/A</v>
      </c>
      <c r="AL23" s="76" t="e">
        <f>HLOOKUP(Roster!$E$16,Team!$BL$2:$MK$128,22,FALSE)</f>
        <v>#N/A</v>
      </c>
      <c r="AM23" s="76" t="e">
        <f>HLOOKUP(Roster!$E$17,Team!$BL$2:$MK$128,22,FALSE)</f>
        <v>#N/A</v>
      </c>
      <c r="AN23" s="76" t="e">
        <f>HLOOKUP(Roster!$E$18,Team!$BL$2:$MK$128,22,FALSE)</f>
        <v>#N/A</v>
      </c>
      <c r="AO23" s="76" t="e">
        <f>HLOOKUP(Roster!$E$19,Team!$BL$2:$MK$128,22,FALSE)</f>
        <v>#N/A</v>
      </c>
      <c r="AP23" s="76" t="e">
        <f>HLOOKUP(Roster!$E$20,Team!$BL$2:$MK$128,22,FALSE)</f>
        <v>#N/A</v>
      </c>
      <c r="AR23" s="108">
        <f t="shared" si="1"/>
        <v>0</v>
      </c>
      <c r="AS23" s="108">
        <f t="shared" si="2"/>
        <v>0</v>
      </c>
      <c r="AT23" s="108">
        <f t="shared" si="3"/>
        <v>0</v>
      </c>
      <c r="AU23" s="108">
        <f t="shared" si="4"/>
        <v>0</v>
      </c>
      <c r="AV23" s="108">
        <f t="shared" si="5"/>
        <v>0</v>
      </c>
      <c r="AW23" s="108">
        <f t="shared" si="6"/>
        <v>0</v>
      </c>
      <c r="AX23" s="108">
        <f t="shared" si="7"/>
        <v>0</v>
      </c>
      <c r="AY23" s="108">
        <f t="shared" si="8"/>
        <v>0</v>
      </c>
      <c r="AZ23" s="108">
        <f t="shared" si="9"/>
        <v>0</v>
      </c>
      <c r="BA23" s="108">
        <f t="shared" si="10"/>
        <v>0</v>
      </c>
      <c r="BB23" s="108">
        <f t="shared" si="11"/>
        <v>0</v>
      </c>
      <c r="BC23" s="108">
        <f t="shared" si="12"/>
        <v>0</v>
      </c>
      <c r="BD23" s="108">
        <f t="shared" si="13"/>
        <v>0</v>
      </c>
      <c r="BE23" s="108">
        <f t="shared" si="14"/>
        <v>0</v>
      </c>
      <c r="BF23" s="108">
        <f t="shared" si="15"/>
        <v>0</v>
      </c>
      <c r="BG23" s="108">
        <f t="shared" si="16"/>
        <v>0</v>
      </c>
      <c r="BL23" s="75" t="s">
        <v>262</v>
      </c>
      <c r="BM23" s="75" t="s">
        <v>269</v>
      </c>
      <c r="BN23" s="75" t="s">
        <v>262</v>
      </c>
      <c r="BO23" s="75" t="s">
        <v>262</v>
      </c>
      <c r="BP23" s="75" t="s">
        <v>262</v>
      </c>
      <c r="BQ23" s="75"/>
      <c r="BR23" s="75" t="s">
        <v>269</v>
      </c>
      <c r="BS23" s="75" t="s">
        <v>269</v>
      </c>
      <c r="BT23" s="75" t="s">
        <v>269</v>
      </c>
      <c r="BU23" s="75" t="s">
        <v>269</v>
      </c>
      <c r="BV23" s="75"/>
      <c r="BW23" s="81" t="s">
        <v>269</v>
      </c>
      <c r="BX23" s="81" t="s">
        <v>264</v>
      </c>
      <c r="BY23" s="81" t="s">
        <v>264</v>
      </c>
      <c r="BZ23" s="81" t="s">
        <v>264</v>
      </c>
      <c r="CA23" s="81" t="s">
        <v>264</v>
      </c>
      <c r="CB23" s="81" t="s">
        <v>269</v>
      </c>
      <c r="CC23" s="77"/>
      <c r="CD23" s="75" t="s">
        <v>262</v>
      </c>
      <c r="CE23" s="81" t="s">
        <v>264</v>
      </c>
      <c r="CF23" s="75" t="s">
        <v>262</v>
      </c>
      <c r="CG23" s="81" t="s">
        <v>264</v>
      </c>
      <c r="CH23" s="75" t="s">
        <v>262</v>
      </c>
      <c r="CI23" s="77"/>
      <c r="CJ23" s="81" t="s">
        <v>264</v>
      </c>
      <c r="CK23" s="81" t="s">
        <v>269</v>
      </c>
      <c r="CL23" s="81" t="s">
        <v>264</v>
      </c>
      <c r="CM23" s="81" t="s">
        <v>264</v>
      </c>
      <c r="CN23" s="81" t="s">
        <v>264</v>
      </c>
      <c r="CO23" s="81" t="s">
        <v>269</v>
      </c>
      <c r="CP23" s="81" t="s">
        <v>264</v>
      </c>
      <c r="CQ23" s="81" t="s">
        <v>264</v>
      </c>
      <c r="CR23" s="81" t="s">
        <v>264</v>
      </c>
      <c r="CS23" s="81" t="s">
        <v>264</v>
      </c>
      <c r="CT23" s="81" t="s">
        <v>264</v>
      </c>
      <c r="CU23" s="81"/>
      <c r="CV23" s="75" t="s">
        <v>269</v>
      </c>
      <c r="CW23" s="75" t="s">
        <v>269</v>
      </c>
      <c r="CX23" s="75" t="s">
        <v>269</v>
      </c>
      <c r="CY23" s="75" t="s">
        <v>269</v>
      </c>
      <c r="CZ23" s="75" t="s">
        <v>269</v>
      </c>
      <c r="DA23" s="81"/>
      <c r="DB23" s="75" t="s">
        <v>262</v>
      </c>
      <c r="DC23" s="75" t="s">
        <v>269</v>
      </c>
      <c r="DD23" s="75" t="s">
        <v>269</v>
      </c>
      <c r="DE23" s="75" t="s">
        <v>269</v>
      </c>
      <c r="DF23" s="75" t="s">
        <v>269</v>
      </c>
      <c r="DG23" s="75" t="s">
        <v>262</v>
      </c>
      <c r="DH23" s="75"/>
      <c r="DI23" s="75" t="s">
        <v>262</v>
      </c>
      <c r="DJ23" s="75" t="s">
        <v>269</v>
      </c>
      <c r="DK23" s="75" t="s">
        <v>269</v>
      </c>
      <c r="DL23" s="75" t="s">
        <v>262</v>
      </c>
      <c r="DM23" s="75" t="s">
        <v>262</v>
      </c>
      <c r="DN23" s="75" t="s">
        <v>262</v>
      </c>
      <c r="DO23" s="75"/>
      <c r="DP23" s="75" t="s">
        <v>262</v>
      </c>
      <c r="DQ23" s="75" t="s">
        <v>269</v>
      </c>
      <c r="DR23" s="75" t="s">
        <v>262</v>
      </c>
      <c r="DS23" s="75" t="s">
        <v>269</v>
      </c>
      <c r="DT23" s="75" t="s">
        <v>262</v>
      </c>
      <c r="DU23" s="75"/>
      <c r="DV23" s="75" t="s">
        <v>269</v>
      </c>
      <c r="DW23" s="75" t="s">
        <v>269</v>
      </c>
      <c r="DX23" s="75" t="s">
        <v>262</v>
      </c>
      <c r="DY23" s="75" t="s">
        <v>262</v>
      </c>
      <c r="DZ23" s="75" t="s">
        <v>269</v>
      </c>
      <c r="EA23" s="75" t="s">
        <v>269</v>
      </c>
      <c r="EB23" s="75" t="s">
        <v>262</v>
      </c>
      <c r="EC23" s="75" t="s">
        <v>269</v>
      </c>
      <c r="ED23" s="75" t="s">
        <v>269</v>
      </c>
      <c r="EE23" s="75"/>
      <c r="EF23" s="75" t="s">
        <v>262</v>
      </c>
      <c r="EG23" s="75" t="s">
        <v>269</v>
      </c>
      <c r="EH23" s="75" t="s">
        <v>262</v>
      </c>
      <c r="EI23" s="75" t="s">
        <v>269</v>
      </c>
      <c r="EJ23" s="75" t="s">
        <v>262</v>
      </c>
      <c r="EK23" s="75"/>
      <c r="EL23" s="75" t="s">
        <v>269</v>
      </c>
      <c r="EM23" s="75" t="s">
        <v>269</v>
      </c>
      <c r="EN23" s="75" t="s">
        <v>262</v>
      </c>
      <c r="EO23" s="75" t="s">
        <v>269</v>
      </c>
      <c r="EP23" s="75" t="s">
        <v>269</v>
      </c>
      <c r="EQ23" s="75"/>
      <c r="ER23" s="75" t="s">
        <v>262</v>
      </c>
      <c r="ES23" s="75" t="s">
        <v>269</v>
      </c>
      <c r="ET23" s="75" t="s">
        <v>269</v>
      </c>
      <c r="EU23" s="75" t="s">
        <v>269</v>
      </c>
      <c r="EV23" s="75" t="s">
        <v>262</v>
      </c>
      <c r="EW23" s="75" t="s">
        <v>262</v>
      </c>
      <c r="EX23" s="75" t="s">
        <v>262</v>
      </c>
      <c r="EY23" s="75"/>
      <c r="EZ23" s="75" t="s">
        <v>262</v>
      </c>
      <c r="FA23" s="75" t="s">
        <v>269</v>
      </c>
      <c r="FB23" s="75" t="s">
        <v>269</v>
      </c>
      <c r="FC23" s="75" t="s">
        <v>262</v>
      </c>
      <c r="FD23" s="75" t="s">
        <v>262</v>
      </c>
      <c r="FE23" s="75" t="s">
        <v>262</v>
      </c>
      <c r="FF23" s="75"/>
      <c r="FG23" s="81" t="s">
        <v>264</v>
      </c>
      <c r="FH23" s="81" t="s">
        <v>269</v>
      </c>
      <c r="FI23" s="81" t="s">
        <v>264</v>
      </c>
      <c r="FJ23" s="81" t="s">
        <v>264</v>
      </c>
      <c r="FK23" s="81" t="s">
        <v>264</v>
      </c>
      <c r="FL23" s="75"/>
      <c r="FM23" s="75" t="s">
        <v>269</v>
      </c>
      <c r="FN23" s="75" t="s">
        <v>269</v>
      </c>
      <c r="FO23" s="75" t="s">
        <v>262</v>
      </c>
      <c r="FP23" s="75" t="s">
        <v>262</v>
      </c>
      <c r="FQ23" s="75" t="s">
        <v>269</v>
      </c>
      <c r="FR23" s="75"/>
      <c r="FS23" s="75" t="s">
        <v>262</v>
      </c>
      <c r="FT23" s="75" t="s">
        <v>269</v>
      </c>
      <c r="FU23" s="75" t="s">
        <v>262</v>
      </c>
      <c r="FV23" s="75" t="s">
        <v>269</v>
      </c>
      <c r="FW23" s="75" t="s">
        <v>262</v>
      </c>
      <c r="FX23" s="75" t="s">
        <v>262</v>
      </c>
      <c r="FY23" s="75"/>
      <c r="FZ23" s="75" t="s">
        <v>269</v>
      </c>
      <c r="GA23" s="75" t="s">
        <v>354</v>
      </c>
      <c r="GB23" s="75" t="s">
        <v>269</v>
      </c>
      <c r="GC23" s="75" t="s">
        <v>269</v>
      </c>
      <c r="GD23" s="75" t="s">
        <v>262</v>
      </c>
      <c r="GE23" s="75" t="s">
        <v>262</v>
      </c>
      <c r="GF23" s="75" t="s">
        <v>269</v>
      </c>
      <c r="GG23" s="75"/>
      <c r="GH23" s="81" t="s">
        <v>264</v>
      </c>
      <c r="GI23" s="81" t="s">
        <v>269</v>
      </c>
      <c r="GJ23" s="81" t="s">
        <v>264</v>
      </c>
      <c r="GK23" s="81" t="s">
        <v>264</v>
      </c>
      <c r="GL23" s="81" t="s">
        <v>264</v>
      </c>
      <c r="GM23" s="81"/>
      <c r="GN23" s="81" t="s">
        <v>225</v>
      </c>
      <c r="GO23" s="75" t="s">
        <v>269</v>
      </c>
      <c r="GP23" s="75" t="s">
        <v>269</v>
      </c>
      <c r="GQ23" s="81" t="s">
        <v>225</v>
      </c>
      <c r="GR23" s="81"/>
      <c r="GS23" s="75" t="s">
        <v>262</v>
      </c>
      <c r="GT23" s="75" t="s">
        <v>269</v>
      </c>
      <c r="GU23" s="75" t="s">
        <v>262</v>
      </c>
      <c r="GV23" s="75" t="s">
        <v>262</v>
      </c>
      <c r="GW23" s="75" t="s">
        <v>262</v>
      </c>
      <c r="GX23" s="75" t="s">
        <v>269</v>
      </c>
      <c r="GY23" s="75" t="s">
        <v>262</v>
      </c>
      <c r="GZ23" s="75" t="s">
        <v>262</v>
      </c>
      <c r="HA23" s="75" t="s">
        <v>262</v>
      </c>
      <c r="HB23" s="75" t="s">
        <v>262</v>
      </c>
      <c r="HC23" s="75" t="s">
        <v>269</v>
      </c>
      <c r="HD23" s="75" t="s">
        <v>262</v>
      </c>
      <c r="HE23" s="75"/>
      <c r="HF23" s="75" t="s">
        <v>262</v>
      </c>
      <c r="HG23" s="75" t="s">
        <v>269</v>
      </c>
      <c r="HH23" s="75" t="s">
        <v>269</v>
      </c>
      <c r="HI23" s="75" t="s">
        <v>262</v>
      </c>
      <c r="HJ23" s="75" t="s">
        <v>262</v>
      </c>
      <c r="HK23" s="75" t="s">
        <v>269</v>
      </c>
      <c r="HL23" s="75" t="s">
        <v>262</v>
      </c>
      <c r="HM23" s="75"/>
      <c r="HN23" s="75" t="s">
        <v>262</v>
      </c>
      <c r="HO23" s="75" t="s">
        <v>262</v>
      </c>
      <c r="HP23" s="75" t="s">
        <v>269</v>
      </c>
      <c r="HQ23" s="75" t="s">
        <v>269</v>
      </c>
      <c r="HR23" s="75" t="s">
        <v>262</v>
      </c>
      <c r="HS23" s="75" t="s">
        <v>262</v>
      </c>
      <c r="HT23" s="75"/>
      <c r="HU23" s="75" t="s">
        <v>262</v>
      </c>
      <c r="HV23" s="75" t="s">
        <v>269</v>
      </c>
      <c r="HW23" s="75" t="s">
        <v>262</v>
      </c>
      <c r="HX23" s="75" t="s">
        <v>262</v>
      </c>
      <c r="HY23" s="75" t="s">
        <v>262</v>
      </c>
      <c r="HZ23" s="75" t="s">
        <v>262</v>
      </c>
      <c r="IA23" s="75"/>
      <c r="IB23" s="81" t="s">
        <v>264</v>
      </c>
      <c r="IC23" s="81" t="s">
        <v>269</v>
      </c>
      <c r="ID23" s="81" t="s">
        <v>269</v>
      </c>
      <c r="IE23" s="81" t="s">
        <v>269</v>
      </c>
      <c r="IF23" s="81" t="s">
        <v>264</v>
      </c>
      <c r="IG23" s="81" t="s">
        <v>264</v>
      </c>
      <c r="IH23" s="81"/>
      <c r="II23" s="75" t="s">
        <v>269</v>
      </c>
      <c r="IJ23" s="75" t="s">
        <v>269</v>
      </c>
      <c r="IK23" s="75" t="s">
        <v>269</v>
      </c>
      <c r="IL23" s="75" t="s">
        <v>269</v>
      </c>
      <c r="IM23" s="75" t="s">
        <v>269</v>
      </c>
      <c r="IN23" s="81"/>
      <c r="IO23" s="81" t="s">
        <v>225</v>
      </c>
      <c r="IP23" s="75" t="s">
        <v>262</v>
      </c>
      <c r="IQ23" s="81" t="s">
        <v>225</v>
      </c>
      <c r="IR23" s="81" t="s">
        <v>225</v>
      </c>
      <c r="IS23" s="75" t="s">
        <v>262</v>
      </c>
      <c r="IT23" s="75" t="s">
        <v>269</v>
      </c>
      <c r="IU23" s="81" t="s">
        <v>225</v>
      </c>
      <c r="IV23" s="81"/>
      <c r="IW23" s="75" t="s">
        <v>262</v>
      </c>
      <c r="IX23" s="75" t="s">
        <v>262</v>
      </c>
      <c r="IY23" s="75" t="s">
        <v>269</v>
      </c>
      <c r="IZ23" s="75" t="s">
        <v>262</v>
      </c>
      <c r="JA23" s="75" t="s">
        <v>262</v>
      </c>
      <c r="JB23" s="81"/>
      <c r="JC23" s="81" t="s">
        <v>264</v>
      </c>
      <c r="JD23" s="81" t="s">
        <v>262</v>
      </c>
      <c r="JE23" s="81" t="s">
        <v>264</v>
      </c>
      <c r="JF23" s="81" t="s">
        <v>269</v>
      </c>
      <c r="JG23" s="81" t="s">
        <v>269</v>
      </c>
      <c r="JH23" s="81" t="s">
        <v>269</v>
      </c>
      <c r="JI23" s="81" t="s">
        <v>269</v>
      </c>
      <c r="JJ23" s="81" t="s">
        <v>264</v>
      </c>
      <c r="JK23" s="81" t="s">
        <v>264</v>
      </c>
      <c r="JL23" s="81"/>
      <c r="JM23" s="75" t="s">
        <v>262</v>
      </c>
      <c r="JN23" s="75" t="s">
        <v>269</v>
      </c>
      <c r="JO23" s="75" t="s">
        <v>262</v>
      </c>
      <c r="JP23" s="81"/>
      <c r="JQ23" s="75" t="s">
        <v>262</v>
      </c>
      <c r="JR23" s="75" t="s">
        <v>269</v>
      </c>
      <c r="JS23" s="75" t="s">
        <v>269</v>
      </c>
      <c r="JT23" s="75" t="s">
        <v>269</v>
      </c>
      <c r="JU23" s="75" t="s">
        <v>262</v>
      </c>
      <c r="JV23" s="75" t="s">
        <v>262</v>
      </c>
    </row>
    <row r="24" spans="1:282" x14ac:dyDescent="0.15">
      <c r="A24" s="214" t="s">
        <v>56</v>
      </c>
      <c r="B24" s="6" t="s">
        <v>536</v>
      </c>
      <c r="C24" s="6">
        <v>40000</v>
      </c>
      <c r="D24" s="6">
        <v>1</v>
      </c>
      <c r="E24" s="6">
        <v>6</v>
      </c>
      <c r="F24" s="6">
        <v>2</v>
      </c>
      <c r="G24" s="6" t="s">
        <v>36</v>
      </c>
      <c r="H24" s="6" t="s">
        <v>37</v>
      </c>
      <c r="I24" s="6" t="s">
        <v>38</v>
      </c>
      <c r="J24" s="21" t="s">
        <v>705</v>
      </c>
      <c r="K24" s="21">
        <v>2</v>
      </c>
      <c r="L24" s="21">
        <v>1</v>
      </c>
      <c r="M24" s="21">
        <v>0</v>
      </c>
      <c r="N24" s="21">
        <v>2</v>
      </c>
      <c r="O24" s="21">
        <v>1</v>
      </c>
      <c r="P24" s="21" t="str">
        <f>IF(TeamT[[#This Row],[General]]+TeamT[[#This Row],[Agility]]+TeamT[[#This Row],[Strength]]+TeamT[[#This Row],[Passing]]+TeamT[[#This Row],[Mutation]]&gt;0,IF(TeamT[[#This Row],[General]]=1,"G","")&amp;IF(TeamT[[#This Row],[Agility]]=1,"A","")&amp;IF(TeamT[[#This Row],[Strength]]=1,"S","")&amp;IF(TeamT[[#This Row],[Passing]]=1,"P","")&amp;IF(TeamT[[#This Row],[Mutation]]=1,"M",""),"Star")</f>
        <v>AM</v>
      </c>
      <c r="Q24" s="21" t="str">
        <f>IF(TeamT[[#This Row],[General]]=2,"G","")&amp;IF(TeamT[[#This Row],[Agility]]=2,"A","")&amp;IF(TeamT[[#This Row],[Strength]]=2,"S","")&amp;IF(TeamT[[#This Row],[Passing]]=2,"P","")&amp;IF(TeamT[[#This Row],[Mutation]]=2,"M","")</f>
        <v>GP</v>
      </c>
      <c r="R24" s="212"/>
      <c r="S24" s="21">
        <v>3</v>
      </c>
      <c r="T24" s="21">
        <v>4</v>
      </c>
      <c r="U24" s="21">
        <v>8</v>
      </c>
      <c r="AA24" s="76" t="e">
        <f>HLOOKUP(Roster!$E$5,Team!$BL$2:$MK$128,23,FALSE)</f>
        <v>#N/A</v>
      </c>
      <c r="AB24" s="76" t="e">
        <f>HLOOKUP(Roster!$E$6,Team!$BL$2:$MK$128,23,FALSE)</f>
        <v>#N/A</v>
      </c>
      <c r="AC24" s="76" t="e">
        <f>HLOOKUP(Roster!$E$7,Team!$BL$2:$MK$128,23,FALSE)</f>
        <v>#N/A</v>
      </c>
      <c r="AD24" s="76" t="e">
        <f>HLOOKUP(Roster!$E$8,Team!$BL$2:$MK$128,23,FALSE)</f>
        <v>#N/A</v>
      </c>
      <c r="AE24" s="76" t="e">
        <f>HLOOKUP(Roster!$E$9,Team!$BL$2:$MK$128,23,FALSE)</f>
        <v>#N/A</v>
      </c>
      <c r="AF24" s="76" t="e">
        <f>HLOOKUP(Roster!$E$10,Team!$BL$2:$MK$128,23,FALSE)</f>
        <v>#N/A</v>
      </c>
      <c r="AG24" s="76" t="e">
        <f>HLOOKUP(Roster!$E$11,Team!$BL$2:$MK$128,23,FALSE)</f>
        <v>#N/A</v>
      </c>
      <c r="AH24" s="76" t="e">
        <f>HLOOKUP(Roster!$E$12,Team!$BL$2:$MK$128,23,FALSE)</f>
        <v>#N/A</v>
      </c>
      <c r="AI24" s="76" t="e">
        <f>HLOOKUP(Roster!$E$13,Team!$BL$2:$MK$128,23,FALSE)</f>
        <v>#N/A</v>
      </c>
      <c r="AJ24" s="76" t="e">
        <f>HLOOKUP(Roster!$E$14,Team!$BL$2:$MK$128,23,FALSE)</f>
        <v>#N/A</v>
      </c>
      <c r="AK24" s="76" t="e">
        <f>HLOOKUP(Roster!$E$15,Team!$BL$2:$MK$128,23,FALSE)</f>
        <v>#N/A</v>
      </c>
      <c r="AL24" s="76" t="e">
        <f>HLOOKUP(Roster!$E$16,Team!$BL$2:$MK$128,23,FALSE)</f>
        <v>#N/A</v>
      </c>
      <c r="AM24" s="76" t="e">
        <f>HLOOKUP(Roster!$E$17,Team!$BL$2:$MK$128,23,FALSE)</f>
        <v>#N/A</v>
      </c>
      <c r="AN24" s="76" t="e">
        <f>HLOOKUP(Roster!$E$18,Team!$BL$2:$MK$128,23,FALSE)</f>
        <v>#N/A</v>
      </c>
      <c r="AO24" s="76" t="e">
        <f>HLOOKUP(Roster!$E$19,Team!$BL$2:$MK$128,23,FALSE)</f>
        <v>#N/A</v>
      </c>
      <c r="AP24" s="76" t="e">
        <f>HLOOKUP(Roster!$E$20,Team!$BL$2:$MK$128,23,FALSE)</f>
        <v>#N/A</v>
      </c>
      <c r="AR24" s="108">
        <f t="shared" si="1"/>
        <v>0</v>
      </c>
      <c r="AS24" s="108">
        <f t="shared" si="2"/>
        <v>0</v>
      </c>
      <c r="AT24" s="108">
        <f t="shared" si="3"/>
        <v>0</v>
      </c>
      <c r="AU24" s="108">
        <f t="shared" si="4"/>
        <v>0</v>
      </c>
      <c r="AV24" s="108">
        <f t="shared" si="5"/>
        <v>0</v>
      </c>
      <c r="AW24" s="108">
        <f t="shared" si="6"/>
        <v>0</v>
      </c>
      <c r="AX24" s="108">
        <f t="shared" si="7"/>
        <v>0</v>
      </c>
      <c r="AY24" s="108">
        <f t="shared" si="8"/>
        <v>0</v>
      </c>
      <c r="AZ24" s="108">
        <f t="shared" si="9"/>
        <v>0</v>
      </c>
      <c r="BA24" s="108">
        <f t="shared" si="10"/>
        <v>0</v>
      </c>
      <c r="BB24" s="108">
        <f t="shared" si="11"/>
        <v>0</v>
      </c>
      <c r="BC24" s="108">
        <f t="shared" si="12"/>
        <v>0</v>
      </c>
      <c r="BD24" s="108">
        <f t="shared" si="13"/>
        <v>0</v>
      </c>
      <c r="BE24" s="108">
        <f t="shared" si="14"/>
        <v>0</v>
      </c>
      <c r="BF24" s="108">
        <f t="shared" si="15"/>
        <v>0</v>
      </c>
      <c r="BG24" s="108">
        <f t="shared" si="16"/>
        <v>0</v>
      </c>
      <c r="BL24" s="75" t="s">
        <v>117</v>
      </c>
      <c r="BM24" s="75" t="s">
        <v>68</v>
      </c>
      <c r="BN24" s="75" t="s">
        <v>117</v>
      </c>
      <c r="BO24" s="75" t="s">
        <v>117</v>
      </c>
      <c r="BP24" s="75" t="s">
        <v>117</v>
      </c>
      <c r="BQ24" s="75"/>
      <c r="BR24" s="75" t="s">
        <v>68</v>
      </c>
      <c r="BS24" s="75" t="s">
        <v>68</v>
      </c>
      <c r="BT24" s="75" t="s">
        <v>68</v>
      </c>
      <c r="BU24" s="75" t="s">
        <v>68</v>
      </c>
      <c r="BV24" s="75"/>
      <c r="BW24" s="81" t="s">
        <v>68</v>
      </c>
      <c r="BX24" s="81" t="s">
        <v>242</v>
      </c>
      <c r="BY24" s="81" t="s">
        <v>242</v>
      </c>
      <c r="BZ24" s="81" t="s">
        <v>242</v>
      </c>
      <c r="CA24" s="81" t="s">
        <v>242</v>
      </c>
      <c r="CB24" s="81" t="s">
        <v>68</v>
      </c>
      <c r="CC24" s="77"/>
      <c r="CD24" s="75" t="s">
        <v>117</v>
      </c>
      <c r="CE24" s="81" t="s">
        <v>242</v>
      </c>
      <c r="CF24" s="75" t="s">
        <v>117</v>
      </c>
      <c r="CG24" s="81" t="s">
        <v>242</v>
      </c>
      <c r="CH24" s="75" t="s">
        <v>117</v>
      </c>
      <c r="CI24" s="77"/>
      <c r="CJ24" s="81" t="s">
        <v>242</v>
      </c>
      <c r="CK24" s="81" t="s">
        <v>68</v>
      </c>
      <c r="CL24" s="81" t="s">
        <v>242</v>
      </c>
      <c r="CM24" s="81" t="s">
        <v>242</v>
      </c>
      <c r="CN24" s="81" t="s">
        <v>242</v>
      </c>
      <c r="CO24" s="81" t="s">
        <v>68</v>
      </c>
      <c r="CP24" s="81" t="s">
        <v>242</v>
      </c>
      <c r="CQ24" s="81" t="s">
        <v>242</v>
      </c>
      <c r="CR24" s="81" t="s">
        <v>242</v>
      </c>
      <c r="CS24" s="81" t="s">
        <v>242</v>
      </c>
      <c r="CT24" s="81" t="s">
        <v>242</v>
      </c>
      <c r="CU24" s="81"/>
      <c r="CV24" s="75" t="s">
        <v>68</v>
      </c>
      <c r="CW24" s="75" t="s">
        <v>68</v>
      </c>
      <c r="CX24" s="75" t="s">
        <v>68</v>
      </c>
      <c r="CY24" s="75" t="s">
        <v>68</v>
      </c>
      <c r="CZ24" s="75" t="s">
        <v>68</v>
      </c>
      <c r="DA24" s="81"/>
      <c r="DB24" s="75" t="s">
        <v>117</v>
      </c>
      <c r="DC24" s="75" t="s">
        <v>68</v>
      </c>
      <c r="DD24" s="75" t="s">
        <v>68</v>
      </c>
      <c r="DE24" s="75" t="s">
        <v>68</v>
      </c>
      <c r="DF24" s="75" t="s">
        <v>68</v>
      </c>
      <c r="DG24" s="75" t="s">
        <v>117</v>
      </c>
      <c r="DH24" s="75"/>
      <c r="DI24" s="75" t="s">
        <v>117</v>
      </c>
      <c r="DJ24" s="75" t="s">
        <v>68</v>
      </c>
      <c r="DK24" s="75" t="s">
        <v>68</v>
      </c>
      <c r="DL24" s="75" t="s">
        <v>117</v>
      </c>
      <c r="DM24" s="75" t="s">
        <v>117</v>
      </c>
      <c r="DN24" s="75" t="s">
        <v>117</v>
      </c>
      <c r="DO24" s="75"/>
      <c r="DP24" s="75" t="s">
        <v>117</v>
      </c>
      <c r="DQ24" s="75" t="s">
        <v>68</v>
      </c>
      <c r="DR24" s="75" t="s">
        <v>117</v>
      </c>
      <c r="DS24" s="75" t="s">
        <v>68</v>
      </c>
      <c r="DT24" s="75" t="s">
        <v>117</v>
      </c>
      <c r="DU24" s="75"/>
      <c r="DV24" s="75" t="s">
        <v>68</v>
      </c>
      <c r="DW24" s="75" t="s">
        <v>68</v>
      </c>
      <c r="DX24" s="75" t="s">
        <v>117</v>
      </c>
      <c r="DY24" s="75" t="s">
        <v>117</v>
      </c>
      <c r="DZ24" s="75" t="s">
        <v>68</v>
      </c>
      <c r="EA24" s="75" t="s">
        <v>68</v>
      </c>
      <c r="EB24" s="75" t="s">
        <v>117</v>
      </c>
      <c r="EC24" s="75" t="s">
        <v>68</v>
      </c>
      <c r="ED24" s="75" t="s">
        <v>68</v>
      </c>
      <c r="EE24" s="75"/>
      <c r="EF24" s="75" t="s">
        <v>117</v>
      </c>
      <c r="EG24" s="75" t="s">
        <v>68</v>
      </c>
      <c r="EH24" s="75" t="s">
        <v>117</v>
      </c>
      <c r="EI24" s="75" t="s">
        <v>68</v>
      </c>
      <c r="EJ24" s="75" t="s">
        <v>117</v>
      </c>
      <c r="EK24" s="75"/>
      <c r="EL24" s="75" t="s">
        <v>68</v>
      </c>
      <c r="EM24" s="75" t="s">
        <v>68</v>
      </c>
      <c r="EN24" s="75" t="s">
        <v>117</v>
      </c>
      <c r="EO24" s="75" t="s">
        <v>68</v>
      </c>
      <c r="EP24" s="75" t="s">
        <v>68</v>
      </c>
      <c r="EQ24" s="75"/>
      <c r="ER24" s="75" t="s">
        <v>117</v>
      </c>
      <c r="ES24" s="75" t="s">
        <v>68</v>
      </c>
      <c r="ET24" s="75" t="s">
        <v>68</v>
      </c>
      <c r="EU24" s="75" t="s">
        <v>68</v>
      </c>
      <c r="EV24" s="75" t="s">
        <v>117</v>
      </c>
      <c r="EW24" s="75" t="s">
        <v>117</v>
      </c>
      <c r="EX24" s="75" t="s">
        <v>117</v>
      </c>
      <c r="EY24" s="75"/>
      <c r="EZ24" s="75" t="s">
        <v>117</v>
      </c>
      <c r="FA24" s="75" t="s">
        <v>68</v>
      </c>
      <c r="FB24" s="75" t="s">
        <v>68</v>
      </c>
      <c r="FC24" s="75" t="s">
        <v>117</v>
      </c>
      <c r="FD24" s="75" t="s">
        <v>117</v>
      </c>
      <c r="FE24" s="75" t="s">
        <v>117</v>
      </c>
      <c r="FF24" s="75"/>
      <c r="FG24" s="81" t="s">
        <v>242</v>
      </c>
      <c r="FH24" s="81" t="s">
        <v>68</v>
      </c>
      <c r="FI24" s="81" t="s">
        <v>242</v>
      </c>
      <c r="FJ24" s="81" t="s">
        <v>242</v>
      </c>
      <c r="FK24" s="81" t="s">
        <v>242</v>
      </c>
      <c r="FL24" s="75"/>
      <c r="FM24" s="75" t="s">
        <v>68</v>
      </c>
      <c r="FN24" s="75" t="s">
        <v>68</v>
      </c>
      <c r="FO24" s="75" t="s">
        <v>117</v>
      </c>
      <c r="FP24" s="75" t="s">
        <v>117</v>
      </c>
      <c r="FQ24" s="75" t="s">
        <v>68</v>
      </c>
      <c r="FR24" s="75"/>
      <c r="FS24" s="75" t="s">
        <v>117</v>
      </c>
      <c r="FT24" s="75" t="s">
        <v>68</v>
      </c>
      <c r="FU24" s="75" t="s">
        <v>117</v>
      </c>
      <c r="FV24" s="75" t="s">
        <v>68</v>
      </c>
      <c r="FW24" s="75" t="s">
        <v>117</v>
      </c>
      <c r="FX24" s="75" t="s">
        <v>117</v>
      </c>
      <c r="FY24" s="75"/>
      <c r="FZ24" s="75" t="s">
        <v>68</v>
      </c>
      <c r="GA24" s="75" t="s">
        <v>355</v>
      </c>
      <c r="GB24" s="75" t="s">
        <v>68</v>
      </c>
      <c r="GC24" s="75" t="s">
        <v>68</v>
      </c>
      <c r="GD24" s="75" t="s">
        <v>117</v>
      </c>
      <c r="GE24" s="75" t="s">
        <v>117</v>
      </c>
      <c r="GF24" s="75" t="s">
        <v>68</v>
      </c>
      <c r="GG24" s="75"/>
      <c r="GH24" s="81" t="s">
        <v>242</v>
      </c>
      <c r="GI24" s="81" t="s">
        <v>68</v>
      </c>
      <c r="GJ24" s="81" t="s">
        <v>242</v>
      </c>
      <c r="GK24" s="81" t="s">
        <v>242</v>
      </c>
      <c r="GL24" s="81" t="s">
        <v>242</v>
      </c>
      <c r="GM24" s="81"/>
      <c r="GN24" s="81" t="s">
        <v>226</v>
      </c>
      <c r="GO24" s="75" t="s">
        <v>68</v>
      </c>
      <c r="GP24" s="75" t="s">
        <v>68</v>
      </c>
      <c r="GQ24" s="81" t="s">
        <v>226</v>
      </c>
      <c r="GR24" s="81"/>
      <c r="GS24" s="75" t="s">
        <v>117</v>
      </c>
      <c r="GT24" s="75" t="s">
        <v>68</v>
      </c>
      <c r="GU24" s="75" t="s">
        <v>117</v>
      </c>
      <c r="GV24" s="75" t="s">
        <v>117</v>
      </c>
      <c r="GW24" s="75" t="s">
        <v>117</v>
      </c>
      <c r="GX24" s="75" t="s">
        <v>68</v>
      </c>
      <c r="GY24" s="75" t="s">
        <v>117</v>
      </c>
      <c r="GZ24" s="75" t="s">
        <v>117</v>
      </c>
      <c r="HA24" s="75" t="s">
        <v>117</v>
      </c>
      <c r="HB24" s="75" t="s">
        <v>117</v>
      </c>
      <c r="HC24" s="75" t="s">
        <v>68</v>
      </c>
      <c r="HD24" s="75" t="s">
        <v>117</v>
      </c>
      <c r="HE24" s="75"/>
      <c r="HF24" s="75" t="s">
        <v>117</v>
      </c>
      <c r="HG24" s="75" t="s">
        <v>68</v>
      </c>
      <c r="HH24" s="75" t="s">
        <v>68</v>
      </c>
      <c r="HI24" s="75" t="s">
        <v>117</v>
      </c>
      <c r="HJ24" s="75" t="s">
        <v>117</v>
      </c>
      <c r="HK24" s="75" t="s">
        <v>68</v>
      </c>
      <c r="HL24" s="75" t="s">
        <v>117</v>
      </c>
      <c r="HM24" s="75"/>
      <c r="HN24" s="75" t="s">
        <v>117</v>
      </c>
      <c r="HO24" s="75" t="s">
        <v>117</v>
      </c>
      <c r="HP24" s="75" t="s">
        <v>68</v>
      </c>
      <c r="HQ24" s="75" t="s">
        <v>68</v>
      </c>
      <c r="HR24" s="75" t="s">
        <v>117</v>
      </c>
      <c r="HS24" s="75" t="s">
        <v>117</v>
      </c>
      <c r="HT24" s="75"/>
      <c r="HU24" s="75" t="s">
        <v>117</v>
      </c>
      <c r="HV24" s="75" t="s">
        <v>68</v>
      </c>
      <c r="HW24" s="75" t="s">
        <v>117</v>
      </c>
      <c r="HX24" s="75" t="s">
        <v>117</v>
      </c>
      <c r="HY24" s="75" t="s">
        <v>117</v>
      </c>
      <c r="HZ24" s="75" t="s">
        <v>117</v>
      </c>
      <c r="IA24" s="75"/>
      <c r="IB24" s="81" t="s">
        <v>242</v>
      </c>
      <c r="IC24" s="81" t="s">
        <v>68</v>
      </c>
      <c r="ID24" s="81" t="s">
        <v>68</v>
      </c>
      <c r="IE24" s="81" t="s">
        <v>68</v>
      </c>
      <c r="IF24" s="81" t="s">
        <v>242</v>
      </c>
      <c r="IG24" s="81" t="s">
        <v>242</v>
      </c>
      <c r="IH24" s="81"/>
      <c r="II24" s="75" t="s">
        <v>68</v>
      </c>
      <c r="IJ24" s="75" t="s">
        <v>68</v>
      </c>
      <c r="IK24" s="75" t="s">
        <v>68</v>
      </c>
      <c r="IL24" s="75" t="s">
        <v>68</v>
      </c>
      <c r="IM24" s="75" t="s">
        <v>68</v>
      </c>
      <c r="IN24" s="81"/>
      <c r="IO24" s="81" t="s">
        <v>226</v>
      </c>
      <c r="IP24" s="75" t="s">
        <v>117</v>
      </c>
      <c r="IQ24" s="81" t="s">
        <v>226</v>
      </c>
      <c r="IR24" s="81" t="s">
        <v>226</v>
      </c>
      <c r="IS24" s="75" t="s">
        <v>117</v>
      </c>
      <c r="IT24" s="75" t="s">
        <v>68</v>
      </c>
      <c r="IU24" s="81" t="s">
        <v>226</v>
      </c>
      <c r="IV24" s="81"/>
      <c r="IW24" s="75" t="s">
        <v>117</v>
      </c>
      <c r="IX24" s="75" t="s">
        <v>117</v>
      </c>
      <c r="IY24" s="75" t="s">
        <v>68</v>
      </c>
      <c r="IZ24" s="75" t="s">
        <v>117</v>
      </c>
      <c r="JA24" s="75" t="s">
        <v>117</v>
      </c>
      <c r="JB24" s="81"/>
      <c r="JC24" s="81" t="s">
        <v>242</v>
      </c>
      <c r="JD24" s="81" t="s">
        <v>117</v>
      </c>
      <c r="JE24" s="81" t="s">
        <v>242</v>
      </c>
      <c r="JF24" s="81" t="s">
        <v>68</v>
      </c>
      <c r="JG24" s="81" t="s">
        <v>68</v>
      </c>
      <c r="JH24" s="81" t="s">
        <v>68</v>
      </c>
      <c r="JI24" s="81" t="s">
        <v>68</v>
      </c>
      <c r="JJ24" s="81" t="s">
        <v>242</v>
      </c>
      <c r="JK24" s="81" t="s">
        <v>242</v>
      </c>
      <c r="JL24" s="81"/>
      <c r="JM24" s="75" t="s">
        <v>117</v>
      </c>
      <c r="JN24" s="75" t="s">
        <v>68</v>
      </c>
      <c r="JO24" s="75" t="s">
        <v>117</v>
      </c>
      <c r="JP24" s="81"/>
      <c r="JQ24" s="75" t="s">
        <v>117</v>
      </c>
      <c r="JR24" s="75" t="s">
        <v>68</v>
      </c>
      <c r="JS24" s="75" t="s">
        <v>68</v>
      </c>
      <c r="JT24" s="75" t="s">
        <v>68</v>
      </c>
      <c r="JU24" s="75" t="s">
        <v>117</v>
      </c>
      <c r="JV24" s="75" t="s">
        <v>117</v>
      </c>
    </row>
    <row r="25" spans="1:282" x14ac:dyDescent="0.15">
      <c r="A25" s="214" t="s">
        <v>57</v>
      </c>
      <c r="B25" s="6" t="s">
        <v>536</v>
      </c>
      <c r="C25" s="6">
        <v>50000</v>
      </c>
      <c r="D25" s="6">
        <v>1</v>
      </c>
      <c r="E25" s="6">
        <v>5</v>
      </c>
      <c r="F25" s="6">
        <v>3</v>
      </c>
      <c r="G25" s="6" t="s">
        <v>36</v>
      </c>
      <c r="H25" s="6" t="s">
        <v>40</v>
      </c>
      <c r="I25" s="6" t="s">
        <v>41</v>
      </c>
      <c r="J25" s="21" t="s">
        <v>706</v>
      </c>
      <c r="K25" s="21">
        <v>1</v>
      </c>
      <c r="L25" s="21">
        <v>2</v>
      </c>
      <c r="M25" s="21">
        <v>2</v>
      </c>
      <c r="N25" s="21">
        <v>0</v>
      </c>
      <c r="O25" s="21">
        <v>1</v>
      </c>
      <c r="P25" s="21" t="str">
        <f>IF(TeamT[[#This Row],[General]]+TeamT[[#This Row],[Agility]]+TeamT[[#This Row],[Strength]]+TeamT[[#This Row],[Passing]]+TeamT[[#This Row],[Mutation]]&gt;0,IF(TeamT[[#This Row],[General]]=1,"G","")&amp;IF(TeamT[[#This Row],[Agility]]=1,"A","")&amp;IF(TeamT[[#This Row],[Strength]]=1,"S","")&amp;IF(TeamT[[#This Row],[Passing]]=1,"P","")&amp;IF(TeamT[[#This Row],[Mutation]]=1,"M",""),"Star")</f>
        <v>GM</v>
      </c>
      <c r="Q25" s="21" t="str">
        <f>IF(TeamT[[#This Row],[General]]=2,"G","")&amp;IF(TeamT[[#This Row],[Agility]]=2,"A","")&amp;IF(TeamT[[#This Row],[Strength]]=2,"S","")&amp;IF(TeamT[[#This Row],[Passing]]=2,"P","")&amp;IF(TeamT[[#This Row],[Mutation]]=2,"M","")</f>
        <v>AS</v>
      </c>
      <c r="R25" s="212"/>
      <c r="S25" s="21">
        <v>3</v>
      </c>
      <c r="T25" s="21">
        <v>5</v>
      </c>
      <c r="U25" s="21">
        <v>10</v>
      </c>
      <c r="AA25" s="76" t="e">
        <f>HLOOKUP(Roster!$E$5,Team!$BL$2:$MK$128,24,FALSE)</f>
        <v>#N/A</v>
      </c>
      <c r="AB25" s="76" t="e">
        <f>HLOOKUP(Roster!$E$6,Team!$BL$2:$MK$128,24,FALSE)</f>
        <v>#N/A</v>
      </c>
      <c r="AC25" s="76" t="e">
        <f>HLOOKUP(Roster!$E$7,Team!$BL$2:$MK$128,24,FALSE)</f>
        <v>#N/A</v>
      </c>
      <c r="AD25" s="76" t="e">
        <f>HLOOKUP(Roster!$E$8,Team!$BL$2:$MK$128,24,FALSE)</f>
        <v>#N/A</v>
      </c>
      <c r="AE25" s="76" t="e">
        <f>HLOOKUP(Roster!$E$9,Team!$BL$2:$MK$128,24,FALSE)</f>
        <v>#N/A</v>
      </c>
      <c r="AF25" s="76" t="e">
        <f>HLOOKUP(Roster!$E$10,Team!$BL$2:$MK$128,24,FALSE)</f>
        <v>#N/A</v>
      </c>
      <c r="AG25" s="76" t="e">
        <f>HLOOKUP(Roster!$E$11,Team!$BL$2:$MK$128,24,FALSE)</f>
        <v>#N/A</v>
      </c>
      <c r="AH25" s="76" t="e">
        <f>HLOOKUP(Roster!$E$12,Team!$BL$2:$MK$128,24,FALSE)</f>
        <v>#N/A</v>
      </c>
      <c r="AI25" s="76" t="e">
        <f>HLOOKUP(Roster!$E$13,Team!$BL$2:$MK$128,24,FALSE)</f>
        <v>#N/A</v>
      </c>
      <c r="AJ25" s="76" t="e">
        <f>HLOOKUP(Roster!$E$14,Team!$BL$2:$MK$128,24,FALSE)</f>
        <v>#N/A</v>
      </c>
      <c r="AK25" s="76" t="e">
        <f>HLOOKUP(Roster!$E$15,Team!$BL$2:$MK$128,24,FALSE)</f>
        <v>#N/A</v>
      </c>
      <c r="AL25" s="76" t="e">
        <f>HLOOKUP(Roster!$E$16,Team!$BL$2:$MK$128,24,FALSE)</f>
        <v>#N/A</v>
      </c>
      <c r="AM25" s="76" t="e">
        <f>HLOOKUP(Roster!$E$17,Team!$BL$2:$MK$128,24,FALSE)</f>
        <v>#N/A</v>
      </c>
      <c r="AN25" s="76" t="e">
        <f>HLOOKUP(Roster!$E$18,Team!$BL$2:$MK$128,24,FALSE)</f>
        <v>#N/A</v>
      </c>
      <c r="AO25" s="76" t="e">
        <f>HLOOKUP(Roster!$E$19,Team!$BL$2:$MK$128,24,FALSE)</f>
        <v>#N/A</v>
      </c>
      <c r="AP25" s="76" t="e">
        <f>HLOOKUP(Roster!$E$20,Team!$BL$2:$MK$128,24,FALSE)</f>
        <v>#N/A</v>
      </c>
      <c r="AR25" s="108">
        <f t="shared" si="1"/>
        <v>0</v>
      </c>
      <c r="AS25" s="108">
        <f t="shared" si="2"/>
        <v>0</v>
      </c>
      <c r="AT25" s="108">
        <f t="shared" si="3"/>
        <v>0</v>
      </c>
      <c r="AU25" s="108">
        <f t="shared" si="4"/>
        <v>0</v>
      </c>
      <c r="AV25" s="108">
        <f t="shared" si="5"/>
        <v>0</v>
      </c>
      <c r="AW25" s="108">
        <f t="shared" si="6"/>
        <v>0</v>
      </c>
      <c r="AX25" s="108">
        <f t="shared" si="7"/>
        <v>0</v>
      </c>
      <c r="AY25" s="108">
        <f t="shared" si="8"/>
        <v>0</v>
      </c>
      <c r="AZ25" s="108">
        <f t="shared" si="9"/>
        <v>0</v>
      </c>
      <c r="BA25" s="108">
        <f t="shared" si="10"/>
        <v>0</v>
      </c>
      <c r="BB25" s="108">
        <f t="shared" si="11"/>
        <v>0</v>
      </c>
      <c r="BC25" s="108">
        <f t="shared" si="12"/>
        <v>0</v>
      </c>
      <c r="BD25" s="108">
        <f t="shared" si="13"/>
        <v>0</v>
      </c>
      <c r="BE25" s="108">
        <f t="shared" si="14"/>
        <v>0</v>
      </c>
      <c r="BF25" s="108">
        <f t="shared" si="15"/>
        <v>0</v>
      </c>
      <c r="BG25" s="108">
        <f t="shared" si="16"/>
        <v>0</v>
      </c>
      <c r="BL25" s="75" t="s">
        <v>263</v>
      </c>
      <c r="BM25" s="75" t="s">
        <v>270</v>
      </c>
      <c r="BN25" s="75" t="s">
        <v>263</v>
      </c>
      <c r="BO25" s="75" t="s">
        <v>263</v>
      </c>
      <c r="BP25" s="75" t="s">
        <v>263</v>
      </c>
      <c r="BQ25" s="75"/>
      <c r="BR25" s="75" t="s">
        <v>270</v>
      </c>
      <c r="BS25" s="75" t="s">
        <v>270</v>
      </c>
      <c r="BT25" s="75" t="s">
        <v>270</v>
      </c>
      <c r="BU25" s="75" t="s">
        <v>270</v>
      </c>
      <c r="BV25" s="75"/>
      <c r="BW25" s="81" t="s">
        <v>270</v>
      </c>
      <c r="BX25" s="81" t="s">
        <v>265</v>
      </c>
      <c r="BY25" s="81" t="s">
        <v>265</v>
      </c>
      <c r="BZ25" s="81" t="s">
        <v>265</v>
      </c>
      <c r="CA25" s="81" t="s">
        <v>265</v>
      </c>
      <c r="CB25" s="81" t="s">
        <v>270</v>
      </c>
      <c r="CC25" s="77"/>
      <c r="CD25" s="75" t="s">
        <v>263</v>
      </c>
      <c r="CE25" s="81" t="s">
        <v>265</v>
      </c>
      <c r="CF25" s="75" t="s">
        <v>263</v>
      </c>
      <c r="CG25" s="81" t="s">
        <v>265</v>
      </c>
      <c r="CH25" s="75" t="s">
        <v>263</v>
      </c>
      <c r="CI25" s="77"/>
      <c r="CJ25" s="81" t="s">
        <v>265</v>
      </c>
      <c r="CK25" s="81" t="s">
        <v>270</v>
      </c>
      <c r="CL25" s="81" t="s">
        <v>265</v>
      </c>
      <c r="CM25" s="81" t="s">
        <v>265</v>
      </c>
      <c r="CN25" s="81" t="s">
        <v>265</v>
      </c>
      <c r="CO25" s="81" t="s">
        <v>270</v>
      </c>
      <c r="CP25" s="81" t="s">
        <v>265</v>
      </c>
      <c r="CQ25" s="81" t="s">
        <v>265</v>
      </c>
      <c r="CR25" s="81" t="s">
        <v>265</v>
      </c>
      <c r="CS25" s="81" t="s">
        <v>265</v>
      </c>
      <c r="CT25" s="81" t="s">
        <v>265</v>
      </c>
      <c r="CU25" s="81"/>
      <c r="CV25" s="75" t="s">
        <v>270</v>
      </c>
      <c r="CW25" s="75" t="s">
        <v>270</v>
      </c>
      <c r="CX25" s="75" t="s">
        <v>270</v>
      </c>
      <c r="CY25" s="75" t="s">
        <v>270</v>
      </c>
      <c r="CZ25" s="75" t="s">
        <v>270</v>
      </c>
      <c r="DA25" s="81"/>
      <c r="DB25" s="75" t="s">
        <v>263</v>
      </c>
      <c r="DC25" s="75" t="s">
        <v>270</v>
      </c>
      <c r="DD25" s="75" t="s">
        <v>270</v>
      </c>
      <c r="DE25" s="75" t="s">
        <v>270</v>
      </c>
      <c r="DF25" s="75" t="s">
        <v>270</v>
      </c>
      <c r="DG25" s="75" t="s">
        <v>263</v>
      </c>
      <c r="DH25" s="75"/>
      <c r="DI25" s="75" t="s">
        <v>263</v>
      </c>
      <c r="DJ25" s="75" t="s">
        <v>270</v>
      </c>
      <c r="DK25" s="75" t="s">
        <v>270</v>
      </c>
      <c r="DL25" s="75" t="s">
        <v>263</v>
      </c>
      <c r="DM25" s="75" t="s">
        <v>263</v>
      </c>
      <c r="DN25" s="75" t="s">
        <v>263</v>
      </c>
      <c r="DO25" s="75"/>
      <c r="DP25" s="75" t="s">
        <v>263</v>
      </c>
      <c r="DQ25" s="75" t="s">
        <v>270</v>
      </c>
      <c r="DR25" s="75" t="s">
        <v>263</v>
      </c>
      <c r="DS25" s="75" t="s">
        <v>270</v>
      </c>
      <c r="DT25" s="75" t="s">
        <v>263</v>
      </c>
      <c r="DU25" s="75"/>
      <c r="DV25" s="75" t="s">
        <v>270</v>
      </c>
      <c r="DW25" s="75" t="s">
        <v>270</v>
      </c>
      <c r="DX25" s="75" t="s">
        <v>263</v>
      </c>
      <c r="DY25" s="75" t="s">
        <v>263</v>
      </c>
      <c r="DZ25" s="75" t="s">
        <v>270</v>
      </c>
      <c r="EA25" s="75" t="s">
        <v>270</v>
      </c>
      <c r="EB25" s="75" t="s">
        <v>263</v>
      </c>
      <c r="EC25" s="75" t="s">
        <v>270</v>
      </c>
      <c r="ED25" s="75" t="s">
        <v>270</v>
      </c>
      <c r="EE25" s="75"/>
      <c r="EF25" s="75" t="s">
        <v>263</v>
      </c>
      <c r="EG25" s="75" t="s">
        <v>270</v>
      </c>
      <c r="EH25" s="75" t="s">
        <v>263</v>
      </c>
      <c r="EI25" s="75" t="s">
        <v>270</v>
      </c>
      <c r="EJ25" s="75" t="s">
        <v>263</v>
      </c>
      <c r="EK25" s="75"/>
      <c r="EL25" s="75" t="s">
        <v>270</v>
      </c>
      <c r="EM25" s="75" t="s">
        <v>270</v>
      </c>
      <c r="EN25" s="75" t="s">
        <v>263</v>
      </c>
      <c r="EO25" s="75" t="s">
        <v>270</v>
      </c>
      <c r="EP25" s="75" t="s">
        <v>270</v>
      </c>
      <c r="EQ25" s="75"/>
      <c r="ER25" s="75" t="s">
        <v>263</v>
      </c>
      <c r="ES25" s="75" t="s">
        <v>270</v>
      </c>
      <c r="ET25" s="75" t="s">
        <v>270</v>
      </c>
      <c r="EU25" s="75" t="s">
        <v>270</v>
      </c>
      <c r="EV25" s="75" t="s">
        <v>263</v>
      </c>
      <c r="EW25" s="75" t="s">
        <v>263</v>
      </c>
      <c r="EX25" s="75" t="s">
        <v>263</v>
      </c>
      <c r="EY25" s="75"/>
      <c r="EZ25" s="75" t="s">
        <v>263</v>
      </c>
      <c r="FA25" s="75" t="s">
        <v>270</v>
      </c>
      <c r="FB25" s="75" t="s">
        <v>270</v>
      </c>
      <c r="FC25" s="75" t="s">
        <v>263</v>
      </c>
      <c r="FD25" s="75" t="s">
        <v>263</v>
      </c>
      <c r="FE25" s="75" t="s">
        <v>263</v>
      </c>
      <c r="FF25" s="75"/>
      <c r="FG25" s="81" t="s">
        <v>265</v>
      </c>
      <c r="FH25" s="81" t="s">
        <v>270</v>
      </c>
      <c r="FI25" s="81" t="s">
        <v>265</v>
      </c>
      <c r="FJ25" s="81" t="s">
        <v>265</v>
      </c>
      <c r="FK25" s="81" t="s">
        <v>265</v>
      </c>
      <c r="FL25" s="75"/>
      <c r="FM25" s="75" t="s">
        <v>270</v>
      </c>
      <c r="FN25" s="75" t="s">
        <v>270</v>
      </c>
      <c r="FO25" s="75" t="s">
        <v>263</v>
      </c>
      <c r="FP25" s="75" t="s">
        <v>263</v>
      </c>
      <c r="FQ25" s="75" t="s">
        <v>270</v>
      </c>
      <c r="FR25" s="75"/>
      <c r="FS25" s="75" t="s">
        <v>263</v>
      </c>
      <c r="FT25" s="75" t="s">
        <v>270</v>
      </c>
      <c r="FU25" s="75" t="s">
        <v>263</v>
      </c>
      <c r="FV25" s="75" t="s">
        <v>270</v>
      </c>
      <c r="FW25" s="75" t="s">
        <v>263</v>
      </c>
      <c r="FX25" s="75" t="s">
        <v>263</v>
      </c>
      <c r="FY25" s="75"/>
      <c r="FZ25" s="75" t="s">
        <v>270</v>
      </c>
      <c r="GA25" s="75" t="s">
        <v>356</v>
      </c>
      <c r="GB25" s="75" t="s">
        <v>270</v>
      </c>
      <c r="GC25" s="75" t="s">
        <v>270</v>
      </c>
      <c r="GD25" s="75" t="s">
        <v>263</v>
      </c>
      <c r="GE25" s="75" t="s">
        <v>263</v>
      </c>
      <c r="GF25" s="75" t="s">
        <v>270</v>
      </c>
      <c r="GG25" s="75"/>
      <c r="GH25" s="81" t="s">
        <v>265</v>
      </c>
      <c r="GI25" s="81" t="s">
        <v>270</v>
      </c>
      <c r="GJ25" s="81" t="s">
        <v>265</v>
      </c>
      <c r="GK25" s="81" t="s">
        <v>265</v>
      </c>
      <c r="GL25" s="81" t="s">
        <v>265</v>
      </c>
      <c r="GM25" s="81"/>
      <c r="GN25" s="81" t="s">
        <v>134</v>
      </c>
      <c r="GO25" s="75" t="s">
        <v>270</v>
      </c>
      <c r="GP25" s="75" t="s">
        <v>270</v>
      </c>
      <c r="GQ25" s="81" t="s">
        <v>134</v>
      </c>
      <c r="GR25" s="81"/>
      <c r="GS25" s="75" t="s">
        <v>263</v>
      </c>
      <c r="GT25" s="75" t="s">
        <v>270</v>
      </c>
      <c r="GU25" s="75" t="s">
        <v>263</v>
      </c>
      <c r="GV25" s="75" t="s">
        <v>263</v>
      </c>
      <c r="GW25" s="75" t="s">
        <v>263</v>
      </c>
      <c r="GX25" s="75" t="s">
        <v>270</v>
      </c>
      <c r="GY25" s="75" t="s">
        <v>263</v>
      </c>
      <c r="GZ25" s="75" t="s">
        <v>263</v>
      </c>
      <c r="HA25" s="75" t="s">
        <v>263</v>
      </c>
      <c r="HB25" s="75" t="s">
        <v>263</v>
      </c>
      <c r="HC25" s="75" t="s">
        <v>270</v>
      </c>
      <c r="HD25" s="75" t="s">
        <v>263</v>
      </c>
      <c r="HE25" s="75"/>
      <c r="HF25" s="75" t="s">
        <v>263</v>
      </c>
      <c r="HG25" s="75" t="s">
        <v>270</v>
      </c>
      <c r="HH25" s="75" t="s">
        <v>270</v>
      </c>
      <c r="HI25" s="75" t="s">
        <v>263</v>
      </c>
      <c r="HJ25" s="75" t="s">
        <v>263</v>
      </c>
      <c r="HK25" s="75" t="s">
        <v>270</v>
      </c>
      <c r="HL25" s="75" t="s">
        <v>263</v>
      </c>
      <c r="HM25" s="75"/>
      <c r="HN25" s="75" t="s">
        <v>263</v>
      </c>
      <c r="HO25" s="75" t="s">
        <v>263</v>
      </c>
      <c r="HP25" s="75" t="s">
        <v>270</v>
      </c>
      <c r="HQ25" s="75" t="s">
        <v>270</v>
      </c>
      <c r="HR25" s="75" t="s">
        <v>263</v>
      </c>
      <c r="HS25" s="75" t="s">
        <v>263</v>
      </c>
      <c r="HT25" s="75"/>
      <c r="HU25" s="75" t="s">
        <v>263</v>
      </c>
      <c r="HV25" s="75" t="s">
        <v>270</v>
      </c>
      <c r="HW25" s="75" t="s">
        <v>263</v>
      </c>
      <c r="HX25" s="75" t="s">
        <v>263</v>
      </c>
      <c r="HY25" s="75" t="s">
        <v>263</v>
      </c>
      <c r="HZ25" s="75" t="s">
        <v>263</v>
      </c>
      <c r="IA25" s="75"/>
      <c r="IB25" s="81" t="s">
        <v>265</v>
      </c>
      <c r="IC25" s="81" t="s">
        <v>270</v>
      </c>
      <c r="ID25" s="81" t="s">
        <v>270</v>
      </c>
      <c r="IE25" s="81" t="s">
        <v>270</v>
      </c>
      <c r="IF25" s="81" t="s">
        <v>265</v>
      </c>
      <c r="IG25" s="81" t="s">
        <v>265</v>
      </c>
      <c r="IH25" s="81"/>
      <c r="II25" s="75" t="s">
        <v>270</v>
      </c>
      <c r="IJ25" s="75" t="s">
        <v>270</v>
      </c>
      <c r="IK25" s="75" t="s">
        <v>270</v>
      </c>
      <c r="IL25" s="75" t="s">
        <v>270</v>
      </c>
      <c r="IM25" s="75" t="s">
        <v>270</v>
      </c>
      <c r="IN25" s="81"/>
      <c r="IO25" s="81" t="s">
        <v>134</v>
      </c>
      <c r="IP25" s="75" t="s">
        <v>263</v>
      </c>
      <c r="IQ25" s="81" t="s">
        <v>134</v>
      </c>
      <c r="IR25" s="81" t="s">
        <v>134</v>
      </c>
      <c r="IS25" s="75" t="s">
        <v>263</v>
      </c>
      <c r="IT25" s="75" t="s">
        <v>270</v>
      </c>
      <c r="IU25" s="81" t="s">
        <v>134</v>
      </c>
      <c r="IV25" s="81"/>
      <c r="IW25" s="75" t="s">
        <v>263</v>
      </c>
      <c r="IX25" s="75" t="s">
        <v>263</v>
      </c>
      <c r="IY25" s="75" t="s">
        <v>270</v>
      </c>
      <c r="IZ25" s="75" t="s">
        <v>263</v>
      </c>
      <c r="JA25" s="75" t="s">
        <v>263</v>
      </c>
      <c r="JB25" s="81"/>
      <c r="JC25" s="81" t="s">
        <v>265</v>
      </c>
      <c r="JD25" s="81" t="s">
        <v>263</v>
      </c>
      <c r="JE25" s="81" t="s">
        <v>265</v>
      </c>
      <c r="JF25" s="81" t="s">
        <v>270</v>
      </c>
      <c r="JG25" s="81" t="s">
        <v>270</v>
      </c>
      <c r="JH25" s="81" t="s">
        <v>270</v>
      </c>
      <c r="JI25" s="81" t="s">
        <v>270</v>
      </c>
      <c r="JJ25" s="81" t="s">
        <v>265</v>
      </c>
      <c r="JK25" s="81" t="s">
        <v>265</v>
      </c>
      <c r="JL25" s="81"/>
      <c r="JM25" s="75" t="s">
        <v>263</v>
      </c>
      <c r="JN25" s="75" t="s">
        <v>270</v>
      </c>
      <c r="JO25" s="75" t="s">
        <v>263</v>
      </c>
      <c r="JP25" s="81"/>
      <c r="JQ25" s="75" t="s">
        <v>263</v>
      </c>
      <c r="JR25" s="75" t="s">
        <v>270</v>
      </c>
      <c r="JS25" s="75" t="s">
        <v>270</v>
      </c>
      <c r="JT25" s="75" t="s">
        <v>270</v>
      </c>
      <c r="JU25" s="75" t="s">
        <v>263</v>
      </c>
      <c r="JV25" s="75" t="s">
        <v>263</v>
      </c>
    </row>
    <row r="26" spans="1:282" x14ac:dyDescent="0.15">
      <c r="A26" s="214" t="s">
        <v>520</v>
      </c>
      <c r="B26" s="6" t="s">
        <v>536</v>
      </c>
      <c r="C26" s="6">
        <v>50000</v>
      </c>
      <c r="D26" s="6">
        <v>1</v>
      </c>
      <c r="E26" s="6">
        <v>7</v>
      </c>
      <c r="F26" s="6">
        <v>3</v>
      </c>
      <c r="G26" s="6" t="s">
        <v>36</v>
      </c>
      <c r="H26" s="6" t="s">
        <v>37</v>
      </c>
      <c r="I26" s="6" t="s">
        <v>38</v>
      </c>
      <c r="J26" s="21" t="s">
        <v>706</v>
      </c>
      <c r="K26" s="21">
        <v>1</v>
      </c>
      <c r="L26" s="21">
        <v>2</v>
      </c>
      <c r="M26" s="21">
        <v>2</v>
      </c>
      <c r="N26" s="21">
        <v>0</v>
      </c>
      <c r="O26" s="21">
        <v>1</v>
      </c>
      <c r="P26" s="21" t="str">
        <f>IF(TeamT[[#This Row],[General]]+TeamT[[#This Row],[Agility]]+TeamT[[#This Row],[Strength]]+TeamT[[#This Row],[Passing]]+TeamT[[#This Row],[Mutation]]&gt;0,IF(TeamT[[#This Row],[General]]=1,"G","")&amp;IF(TeamT[[#This Row],[Agility]]=1,"A","")&amp;IF(TeamT[[#This Row],[Strength]]=1,"S","")&amp;IF(TeamT[[#This Row],[Passing]]=1,"P","")&amp;IF(TeamT[[#This Row],[Mutation]]=1,"M",""),"Star")</f>
        <v>GM</v>
      </c>
      <c r="Q26" s="21" t="str">
        <f>IF(TeamT[[#This Row],[General]]=2,"G","")&amp;IF(TeamT[[#This Row],[Agility]]=2,"A","")&amp;IF(TeamT[[#This Row],[Strength]]=2,"S","")&amp;IF(TeamT[[#This Row],[Passing]]=2,"P","")&amp;IF(TeamT[[#This Row],[Mutation]]=2,"M","")</f>
        <v>AS</v>
      </c>
      <c r="R26" s="212"/>
      <c r="S26" s="21">
        <v>3</v>
      </c>
      <c r="T26" s="21">
        <v>4</v>
      </c>
      <c r="U26" s="21">
        <v>8</v>
      </c>
      <c r="AA26" s="76" t="e">
        <f>HLOOKUP(Roster!$E$5,Team!$BL$2:$MK$128,25,FALSE)</f>
        <v>#N/A</v>
      </c>
      <c r="AB26" s="76" t="e">
        <f>HLOOKUP(Roster!$E$6,Team!$BL$2:$MK$128,25,FALSE)</f>
        <v>#N/A</v>
      </c>
      <c r="AC26" s="76" t="e">
        <f>HLOOKUP(Roster!$E$7,Team!$BL$2:$MK$128,25,FALSE)</f>
        <v>#N/A</v>
      </c>
      <c r="AD26" s="76" t="e">
        <f>HLOOKUP(Roster!$E$8,Team!$BL$2:$MK$128,25,FALSE)</f>
        <v>#N/A</v>
      </c>
      <c r="AE26" s="76" t="e">
        <f>HLOOKUP(Roster!$E$9,Team!$BL$2:$MK$128,25,FALSE)</f>
        <v>#N/A</v>
      </c>
      <c r="AF26" s="76" t="e">
        <f>HLOOKUP(Roster!$E$10,Team!$BL$2:$MK$128,25,FALSE)</f>
        <v>#N/A</v>
      </c>
      <c r="AG26" s="76" t="e">
        <f>HLOOKUP(Roster!$E$11,Team!$BL$2:$MK$128,25,FALSE)</f>
        <v>#N/A</v>
      </c>
      <c r="AH26" s="76" t="e">
        <f>HLOOKUP(Roster!$E$12,Team!$BL$2:$MK$128,25,FALSE)</f>
        <v>#N/A</v>
      </c>
      <c r="AI26" s="76" t="e">
        <f>HLOOKUP(Roster!$E$13,Team!$BL$2:$MK$128,25,FALSE)</f>
        <v>#N/A</v>
      </c>
      <c r="AJ26" s="76" t="e">
        <f>HLOOKUP(Roster!$E$14,Team!$BL$2:$MK$128,25,FALSE)</f>
        <v>#N/A</v>
      </c>
      <c r="AK26" s="76" t="e">
        <f>HLOOKUP(Roster!$E$15,Team!$BL$2:$MK$128,25,FALSE)</f>
        <v>#N/A</v>
      </c>
      <c r="AL26" s="76" t="e">
        <f>HLOOKUP(Roster!$E$16,Team!$BL$2:$MK$128,25,FALSE)</f>
        <v>#N/A</v>
      </c>
      <c r="AM26" s="76" t="e">
        <f>HLOOKUP(Roster!$E$17,Team!$BL$2:$MK$128,25,FALSE)</f>
        <v>#N/A</v>
      </c>
      <c r="AN26" s="76" t="e">
        <f>HLOOKUP(Roster!$E$18,Team!$BL$2:$MK$128,25,FALSE)</f>
        <v>#N/A</v>
      </c>
      <c r="AO26" s="76" t="e">
        <f>HLOOKUP(Roster!$E$19,Team!$BL$2:$MK$128,25,FALSE)</f>
        <v>#N/A</v>
      </c>
      <c r="AP26" s="76" t="e">
        <f>HLOOKUP(Roster!$E$20,Team!$BL$2:$MK$128,25,FALSE)</f>
        <v>#N/A</v>
      </c>
      <c r="AR26" s="108">
        <f t="shared" si="1"/>
        <v>0</v>
      </c>
      <c r="AS26" s="108">
        <f t="shared" si="2"/>
        <v>0</v>
      </c>
      <c r="AT26" s="108">
        <f t="shared" si="3"/>
        <v>0</v>
      </c>
      <c r="AU26" s="108">
        <f t="shared" si="4"/>
        <v>0</v>
      </c>
      <c r="AV26" s="108">
        <f t="shared" si="5"/>
        <v>0</v>
      </c>
      <c r="AW26" s="108">
        <f t="shared" si="6"/>
        <v>0</v>
      </c>
      <c r="AX26" s="108">
        <f t="shared" si="7"/>
        <v>0</v>
      </c>
      <c r="AY26" s="108">
        <f t="shared" si="8"/>
        <v>0</v>
      </c>
      <c r="AZ26" s="108">
        <f t="shared" si="9"/>
        <v>0</v>
      </c>
      <c r="BA26" s="108">
        <f t="shared" si="10"/>
        <v>0</v>
      </c>
      <c r="BB26" s="108">
        <f t="shared" si="11"/>
        <v>0</v>
      </c>
      <c r="BC26" s="108">
        <f t="shared" si="12"/>
        <v>0</v>
      </c>
      <c r="BD26" s="108">
        <f t="shared" si="13"/>
        <v>0</v>
      </c>
      <c r="BE26" s="108">
        <f t="shared" si="14"/>
        <v>0</v>
      </c>
      <c r="BF26" s="108">
        <f t="shared" si="15"/>
        <v>0</v>
      </c>
      <c r="BG26" s="108">
        <f t="shared" si="16"/>
        <v>0</v>
      </c>
      <c r="BL26" s="75" t="s">
        <v>233</v>
      </c>
      <c r="BM26" s="75" t="s">
        <v>248</v>
      </c>
      <c r="BN26" s="75" t="s">
        <v>233</v>
      </c>
      <c r="BO26" s="75" t="s">
        <v>233</v>
      </c>
      <c r="BP26" s="75" t="s">
        <v>233</v>
      </c>
      <c r="BQ26" s="75"/>
      <c r="BR26" s="75" t="s">
        <v>248</v>
      </c>
      <c r="BS26" s="75" t="s">
        <v>248</v>
      </c>
      <c r="BT26" s="75" t="s">
        <v>248</v>
      </c>
      <c r="BU26" s="75" t="s">
        <v>248</v>
      </c>
      <c r="BV26" s="75"/>
      <c r="BW26" s="81" t="s">
        <v>248</v>
      </c>
      <c r="BX26" s="81" t="s">
        <v>47</v>
      </c>
      <c r="BY26" s="81" t="s">
        <v>47</v>
      </c>
      <c r="BZ26" s="81" t="s">
        <v>47</v>
      </c>
      <c r="CA26" s="81" t="s">
        <v>47</v>
      </c>
      <c r="CB26" s="81" t="s">
        <v>248</v>
      </c>
      <c r="CC26" s="77"/>
      <c r="CD26" s="75" t="s">
        <v>233</v>
      </c>
      <c r="CE26" s="81" t="s">
        <v>47</v>
      </c>
      <c r="CF26" s="75" t="s">
        <v>233</v>
      </c>
      <c r="CG26" s="81" t="s">
        <v>47</v>
      </c>
      <c r="CH26" s="75" t="s">
        <v>233</v>
      </c>
      <c r="CI26" s="77"/>
      <c r="CJ26" s="81" t="s">
        <v>47</v>
      </c>
      <c r="CK26" s="81" t="s">
        <v>248</v>
      </c>
      <c r="CL26" s="81" t="s">
        <v>47</v>
      </c>
      <c r="CM26" s="81" t="s">
        <v>47</v>
      </c>
      <c r="CN26" s="81" t="s">
        <v>47</v>
      </c>
      <c r="CO26" s="81" t="s">
        <v>248</v>
      </c>
      <c r="CP26" s="81" t="s">
        <v>47</v>
      </c>
      <c r="CQ26" s="81" t="s">
        <v>47</v>
      </c>
      <c r="CR26" s="81" t="s">
        <v>47</v>
      </c>
      <c r="CS26" s="81" t="s">
        <v>47</v>
      </c>
      <c r="CT26" s="81" t="s">
        <v>47</v>
      </c>
      <c r="CU26" s="81"/>
      <c r="CV26" s="75" t="s">
        <v>248</v>
      </c>
      <c r="CW26" s="75" t="s">
        <v>248</v>
      </c>
      <c r="CX26" s="75" t="s">
        <v>248</v>
      </c>
      <c r="CY26" s="75" t="s">
        <v>248</v>
      </c>
      <c r="CZ26" s="75" t="s">
        <v>248</v>
      </c>
      <c r="DA26" s="81"/>
      <c r="DB26" s="75" t="s">
        <v>233</v>
      </c>
      <c r="DC26" s="75" t="s">
        <v>248</v>
      </c>
      <c r="DD26" s="75" t="s">
        <v>248</v>
      </c>
      <c r="DE26" s="75" t="s">
        <v>248</v>
      </c>
      <c r="DF26" s="75" t="s">
        <v>248</v>
      </c>
      <c r="DG26" s="75" t="s">
        <v>233</v>
      </c>
      <c r="DH26" s="75"/>
      <c r="DI26" s="75" t="s">
        <v>233</v>
      </c>
      <c r="DJ26" s="75" t="s">
        <v>248</v>
      </c>
      <c r="DK26" s="75" t="s">
        <v>248</v>
      </c>
      <c r="DL26" s="75" t="s">
        <v>233</v>
      </c>
      <c r="DM26" s="75" t="s">
        <v>233</v>
      </c>
      <c r="DN26" s="75" t="s">
        <v>233</v>
      </c>
      <c r="DO26" s="75"/>
      <c r="DP26" s="75" t="s">
        <v>233</v>
      </c>
      <c r="DQ26" s="75" t="s">
        <v>248</v>
      </c>
      <c r="DR26" s="75" t="s">
        <v>233</v>
      </c>
      <c r="DS26" s="75" t="s">
        <v>248</v>
      </c>
      <c r="DT26" s="75" t="s">
        <v>233</v>
      </c>
      <c r="DU26" s="75"/>
      <c r="DV26" s="75" t="s">
        <v>248</v>
      </c>
      <c r="DW26" s="75" t="s">
        <v>248</v>
      </c>
      <c r="DX26" s="75" t="s">
        <v>233</v>
      </c>
      <c r="DY26" s="75" t="s">
        <v>233</v>
      </c>
      <c r="DZ26" s="75" t="s">
        <v>248</v>
      </c>
      <c r="EA26" s="75" t="s">
        <v>248</v>
      </c>
      <c r="EB26" s="75" t="s">
        <v>233</v>
      </c>
      <c r="EC26" s="75" t="s">
        <v>248</v>
      </c>
      <c r="ED26" s="75" t="s">
        <v>248</v>
      </c>
      <c r="EE26" s="75"/>
      <c r="EF26" s="75" t="s">
        <v>233</v>
      </c>
      <c r="EG26" s="75" t="s">
        <v>248</v>
      </c>
      <c r="EH26" s="75" t="s">
        <v>233</v>
      </c>
      <c r="EI26" s="75" t="s">
        <v>248</v>
      </c>
      <c r="EJ26" s="75" t="s">
        <v>233</v>
      </c>
      <c r="EK26" s="75"/>
      <c r="EL26" s="75" t="s">
        <v>248</v>
      </c>
      <c r="EM26" s="75" t="s">
        <v>248</v>
      </c>
      <c r="EN26" s="75" t="s">
        <v>233</v>
      </c>
      <c r="EO26" s="75" t="s">
        <v>248</v>
      </c>
      <c r="EP26" s="75" t="s">
        <v>248</v>
      </c>
      <c r="EQ26" s="75"/>
      <c r="ER26" s="75" t="s">
        <v>233</v>
      </c>
      <c r="ES26" s="75" t="s">
        <v>248</v>
      </c>
      <c r="ET26" s="75" t="s">
        <v>248</v>
      </c>
      <c r="EU26" s="75" t="s">
        <v>248</v>
      </c>
      <c r="EV26" s="75" t="s">
        <v>233</v>
      </c>
      <c r="EW26" s="75" t="s">
        <v>233</v>
      </c>
      <c r="EX26" s="75" t="s">
        <v>233</v>
      </c>
      <c r="EY26" s="75"/>
      <c r="EZ26" s="75" t="s">
        <v>233</v>
      </c>
      <c r="FA26" s="75" t="s">
        <v>248</v>
      </c>
      <c r="FB26" s="75" t="s">
        <v>248</v>
      </c>
      <c r="FC26" s="75" t="s">
        <v>233</v>
      </c>
      <c r="FD26" s="75" t="s">
        <v>233</v>
      </c>
      <c r="FE26" s="75" t="s">
        <v>233</v>
      </c>
      <c r="FF26" s="75"/>
      <c r="FG26" s="81" t="s">
        <v>47</v>
      </c>
      <c r="FH26" s="81" t="s">
        <v>248</v>
      </c>
      <c r="FI26" s="81" t="s">
        <v>47</v>
      </c>
      <c r="FJ26" s="81" t="s">
        <v>47</v>
      </c>
      <c r="FK26" s="81" t="s">
        <v>47</v>
      </c>
      <c r="FL26" s="75"/>
      <c r="FM26" s="75" t="s">
        <v>248</v>
      </c>
      <c r="FN26" s="75" t="s">
        <v>248</v>
      </c>
      <c r="FO26" s="75" t="s">
        <v>233</v>
      </c>
      <c r="FP26" s="75" t="s">
        <v>233</v>
      </c>
      <c r="FQ26" s="75" t="s">
        <v>248</v>
      </c>
      <c r="FR26" s="75"/>
      <c r="FS26" s="75" t="s">
        <v>233</v>
      </c>
      <c r="FT26" s="75" t="s">
        <v>248</v>
      </c>
      <c r="FU26" s="75" t="s">
        <v>233</v>
      </c>
      <c r="FV26" s="75" t="s">
        <v>248</v>
      </c>
      <c r="FW26" s="75" t="s">
        <v>233</v>
      </c>
      <c r="FX26" s="75" t="s">
        <v>233</v>
      </c>
      <c r="FY26" s="75"/>
      <c r="FZ26" s="75" t="s">
        <v>248</v>
      </c>
      <c r="GA26" s="75" t="s">
        <v>357</v>
      </c>
      <c r="GB26" s="75" t="s">
        <v>248</v>
      </c>
      <c r="GC26" s="75" t="s">
        <v>248</v>
      </c>
      <c r="GD26" s="75" t="s">
        <v>233</v>
      </c>
      <c r="GE26" s="75" t="s">
        <v>233</v>
      </c>
      <c r="GF26" s="75" t="s">
        <v>248</v>
      </c>
      <c r="GG26" s="75"/>
      <c r="GH26" s="81" t="s">
        <v>47</v>
      </c>
      <c r="GI26" s="81" t="s">
        <v>248</v>
      </c>
      <c r="GJ26" s="81" t="s">
        <v>47</v>
      </c>
      <c r="GK26" s="81" t="s">
        <v>47</v>
      </c>
      <c r="GL26" s="81" t="s">
        <v>47</v>
      </c>
      <c r="GM26" s="81"/>
      <c r="GN26" s="81" t="s">
        <v>227</v>
      </c>
      <c r="GO26" s="75" t="s">
        <v>248</v>
      </c>
      <c r="GP26" s="75" t="s">
        <v>248</v>
      </c>
      <c r="GQ26" s="81" t="s">
        <v>227</v>
      </c>
      <c r="GR26" s="81"/>
      <c r="GS26" s="75" t="s">
        <v>233</v>
      </c>
      <c r="GT26" s="75" t="s">
        <v>248</v>
      </c>
      <c r="GU26" s="75" t="s">
        <v>233</v>
      </c>
      <c r="GV26" s="75" t="s">
        <v>233</v>
      </c>
      <c r="GW26" s="75" t="s">
        <v>233</v>
      </c>
      <c r="GX26" s="75" t="s">
        <v>248</v>
      </c>
      <c r="GY26" s="75" t="s">
        <v>233</v>
      </c>
      <c r="GZ26" s="75" t="s">
        <v>233</v>
      </c>
      <c r="HA26" s="75" t="s">
        <v>233</v>
      </c>
      <c r="HB26" s="75" t="s">
        <v>233</v>
      </c>
      <c r="HC26" s="75" t="s">
        <v>248</v>
      </c>
      <c r="HD26" s="75" t="s">
        <v>233</v>
      </c>
      <c r="HE26" s="75"/>
      <c r="HF26" s="75" t="s">
        <v>233</v>
      </c>
      <c r="HG26" s="75" t="s">
        <v>248</v>
      </c>
      <c r="HH26" s="75" t="s">
        <v>248</v>
      </c>
      <c r="HI26" s="75" t="s">
        <v>233</v>
      </c>
      <c r="HJ26" s="75" t="s">
        <v>233</v>
      </c>
      <c r="HK26" s="75" t="s">
        <v>248</v>
      </c>
      <c r="HL26" s="75" t="s">
        <v>233</v>
      </c>
      <c r="HM26" s="75"/>
      <c r="HN26" s="75" t="s">
        <v>233</v>
      </c>
      <c r="HO26" s="75" t="s">
        <v>233</v>
      </c>
      <c r="HP26" s="75" t="s">
        <v>248</v>
      </c>
      <c r="HQ26" s="75" t="s">
        <v>248</v>
      </c>
      <c r="HR26" s="75" t="s">
        <v>233</v>
      </c>
      <c r="HS26" s="75" t="s">
        <v>233</v>
      </c>
      <c r="HT26" s="75"/>
      <c r="HU26" s="75" t="s">
        <v>233</v>
      </c>
      <c r="HV26" s="75" t="s">
        <v>248</v>
      </c>
      <c r="HW26" s="75" t="s">
        <v>233</v>
      </c>
      <c r="HX26" s="75" t="s">
        <v>233</v>
      </c>
      <c r="HY26" s="75" t="s">
        <v>233</v>
      </c>
      <c r="HZ26" s="75" t="s">
        <v>233</v>
      </c>
      <c r="IA26" s="75"/>
      <c r="IB26" s="81" t="s">
        <v>47</v>
      </c>
      <c r="IC26" s="81" t="s">
        <v>248</v>
      </c>
      <c r="ID26" s="81" t="s">
        <v>248</v>
      </c>
      <c r="IE26" s="81" t="s">
        <v>248</v>
      </c>
      <c r="IF26" s="81" t="s">
        <v>47</v>
      </c>
      <c r="IG26" s="81" t="s">
        <v>47</v>
      </c>
      <c r="IH26" s="81"/>
      <c r="II26" s="75" t="s">
        <v>248</v>
      </c>
      <c r="IJ26" s="75" t="s">
        <v>248</v>
      </c>
      <c r="IK26" s="75" t="s">
        <v>248</v>
      </c>
      <c r="IL26" s="75" t="s">
        <v>248</v>
      </c>
      <c r="IM26" s="75" t="s">
        <v>248</v>
      </c>
      <c r="IN26" s="81"/>
      <c r="IO26" s="81" t="s">
        <v>227</v>
      </c>
      <c r="IP26" s="75" t="s">
        <v>233</v>
      </c>
      <c r="IQ26" s="81" t="s">
        <v>227</v>
      </c>
      <c r="IR26" s="81" t="s">
        <v>227</v>
      </c>
      <c r="IS26" s="75" t="s">
        <v>233</v>
      </c>
      <c r="IT26" s="75" t="s">
        <v>248</v>
      </c>
      <c r="IU26" s="81" t="s">
        <v>227</v>
      </c>
      <c r="IV26" s="81"/>
      <c r="IW26" s="75" t="s">
        <v>233</v>
      </c>
      <c r="IX26" s="75" t="s">
        <v>233</v>
      </c>
      <c r="IY26" s="75" t="s">
        <v>248</v>
      </c>
      <c r="IZ26" s="75" t="s">
        <v>233</v>
      </c>
      <c r="JA26" s="75" t="s">
        <v>233</v>
      </c>
      <c r="JB26" s="81"/>
      <c r="JC26" s="81" t="s">
        <v>47</v>
      </c>
      <c r="JD26" s="81" t="s">
        <v>233</v>
      </c>
      <c r="JE26" s="81" t="s">
        <v>47</v>
      </c>
      <c r="JF26" s="81" t="s">
        <v>248</v>
      </c>
      <c r="JG26" s="81" t="s">
        <v>248</v>
      </c>
      <c r="JH26" s="81" t="s">
        <v>248</v>
      </c>
      <c r="JI26" s="81" t="s">
        <v>248</v>
      </c>
      <c r="JJ26" s="81" t="s">
        <v>47</v>
      </c>
      <c r="JK26" s="81" t="s">
        <v>47</v>
      </c>
      <c r="JL26" s="81"/>
      <c r="JM26" s="75" t="s">
        <v>233</v>
      </c>
      <c r="JN26" s="75" t="s">
        <v>248</v>
      </c>
      <c r="JO26" s="75" t="s">
        <v>233</v>
      </c>
      <c r="JP26" s="81"/>
      <c r="JQ26" s="75" t="s">
        <v>233</v>
      </c>
      <c r="JR26" s="75" t="s">
        <v>248</v>
      </c>
      <c r="JS26" s="75" t="s">
        <v>248</v>
      </c>
      <c r="JT26" s="75" t="s">
        <v>248</v>
      </c>
      <c r="JU26" s="75" t="s">
        <v>233</v>
      </c>
      <c r="JV26" s="75" t="s">
        <v>233</v>
      </c>
    </row>
    <row r="27" spans="1:282" x14ac:dyDescent="0.15">
      <c r="A27" s="214" t="s">
        <v>58</v>
      </c>
      <c r="B27" s="6" t="s">
        <v>536</v>
      </c>
      <c r="C27" s="6">
        <v>75000</v>
      </c>
      <c r="D27" s="6">
        <v>1</v>
      </c>
      <c r="E27" s="6">
        <v>6</v>
      </c>
      <c r="F27" s="6">
        <v>3</v>
      </c>
      <c r="G27" s="6" t="s">
        <v>59</v>
      </c>
      <c r="H27" s="6" t="s">
        <v>36</v>
      </c>
      <c r="I27" s="6" t="s">
        <v>46</v>
      </c>
      <c r="J27" s="21" t="s">
        <v>706</v>
      </c>
      <c r="K27" s="21">
        <v>1</v>
      </c>
      <c r="L27" s="21">
        <v>1</v>
      </c>
      <c r="M27" s="21">
        <v>2</v>
      </c>
      <c r="N27" s="21">
        <v>2</v>
      </c>
      <c r="O27" s="21">
        <v>1</v>
      </c>
      <c r="P27" s="21" t="str">
        <f>IF(TeamT[[#This Row],[General]]+TeamT[[#This Row],[Agility]]+TeamT[[#This Row],[Strength]]+TeamT[[#This Row],[Passing]]+TeamT[[#This Row],[Mutation]]&gt;0,IF(TeamT[[#This Row],[General]]=1,"G","")&amp;IF(TeamT[[#This Row],[Agility]]=1,"A","")&amp;IF(TeamT[[#This Row],[Strength]]=1,"S","")&amp;IF(TeamT[[#This Row],[Passing]]=1,"P","")&amp;IF(TeamT[[#This Row],[Mutation]]=1,"M",""),"Star")</f>
        <v>GAM</v>
      </c>
      <c r="Q27" s="21" t="str">
        <f>IF(TeamT[[#This Row],[General]]=2,"G","")&amp;IF(TeamT[[#This Row],[Agility]]=2,"A","")&amp;IF(TeamT[[#This Row],[Strength]]=2,"S","")&amp;IF(TeamT[[#This Row],[Passing]]=2,"P","")&amp;IF(TeamT[[#This Row],[Mutation]]=2,"M","")</f>
        <v>SP</v>
      </c>
      <c r="R27" s="212"/>
      <c r="S27" s="21">
        <v>2</v>
      </c>
      <c r="T27" s="21">
        <v>3</v>
      </c>
      <c r="U27" s="21">
        <v>9</v>
      </c>
      <c r="AA27" s="76" t="e">
        <f>HLOOKUP(Roster!$E$5,Team!$BL$2:$MK$128,26,FALSE)</f>
        <v>#N/A</v>
      </c>
      <c r="AB27" s="76" t="e">
        <f>HLOOKUP(Roster!$E$6,Team!$BL$2:$MK$128,26,FALSE)</f>
        <v>#N/A</v>
      </c>
      <c r="AC27" s="76" t="e">
        <f>HLOOKUP(Roster!$E$7,Team!$BL$2:$MK$128,26,FALSE)</f>
        <v>#N/A</v>
      </c>
      <c r="AD27" s="76" t="e">
        <f>HLOOKUP(Roster!$E$8,Team!$BL$2:$MK$128,26,FALSE)</f>
        <v>#N/A</v>
      </c>
      <c r="AE27" s="76" t="e">
        <f>HLOOKUP(Roster!$E$9,Team!$BL$2:$MK$128,26,FALSE)</f>
        <v>#N/A</v>
      </c>
      <c r="AF27" s="76" t="e">
        <f>HLOOKUP(Roster!$E$10,Team!$BL$2:$MK$128,26,FALSE)</f>
        <v>#N/A</v>
      </c>
      <c r="AG27" s="76" t="e">
        <f>HLOOKUP(Roster!$E$11,Team!$BL$2:$MK$128,26,FALSE)</f>
        <v>#N/A</v>
      </c>
      <c r="AH27" s="76" t="e">
        <f>HLOOKUP(Roster!$E$12,Team!$BL$2:$MK$128,26,FALSE)</f>
        <v>#N/A</v>
      </c>
      <c r="AI27" s="76" t="e">
        <f>HLOOKUP(Roster!$E$13,Team!$BL$2:$MK$128,26,FALSE)</f>
        <v>#N/A</v>
      </c>
      <c r="AJ27" s="76" t="e">
        <f>HLOOKUP(Roster!$E$14,Team!$BL$2:$MK$128,26,FALSE)</f>
        <v>#N/A</v>
      </c>
      <c r="AK27" s="76" t="e">
        <f>HLOOKUP(Roster!$E$15,Team!$BL$2:$MK$128,26,FALSE)</f>
        <v>#N/A</v>
      </c>
      <c r="AL27" s="76" t="e">
        <f>HLOOKUP(Roster!$E$16,Team!$BL$2:$MK$128,26,FALSE)</f>
        <v>#N/A</v>
      </c>
      <c r="AM27" s="76" t="e">
        <f>HLOOKUP(Roster!$E$17,Team!$BL$2:$MK$128,26,FALSE)</f>
        <v>#N/A</v>
      </c>
      <c r="AN27" s="76" t="e">
        <f>HLOOKUP(Roster!$E$18,Team!$BL$2:$MK$128,26,FALSE)</f>
        <v>#N/A</v>
      </c>
      <c r="AO27" s="76" t="e">
        <f>HLOOKUP(Roster!$E$19,Team!$BL$2:$MK$128,26,FALSE)</f>
        <v>#N/A</v>
      </c>
      <c r="AP27" s="76" t="e">
        <f>HLOOKUP(Roster!$E$20,Team!$BL$2:$MK$128,26,FALSE)</f>
        <v>#N/A</v>
      </c>
      <c r="AR27" s="108">
        <f t="shared" si="1"/>
        <v>0</v>
      </c>
      <c r="AS27" s="108">
        <f t="shared" si="2"/>
        <v>0</v>
      </c>
      <c r="AT27" s="108">
        <f t="shared" si="3"/>
        <v>0</v>
      </c>
      <c r="AU27" s="108">
        <f t="shared" si="4"/>
        <v>0</v>
      </c>
      <c r="AV27" s="108">
        <f t="shared" si="5"/>
        <v>0</v>
      </c>
      <c r="AW27" s="108">
        <f t="shared" si="6"/>
        <v>0</v>
      </c>
      <c r="AX27" s="108">
        <f t="shared" si="7"/>
        <v>0</v>
      </c>
      <c r="AY27" s="108">
        <f t="shared" si="8"/>
        <v>0</v>
      </c>
      <c r="AZ27" s="108">
        <f t="shared" si="9"/>
        <v>0</v>
      </c>
      <c r="BA27" s="108">
        <f t="shared" si="10"/>
        <v>0</v>
      </c>
      <c r="BB27" s="108">
        <f t="shared" si="11"/>
        <v>0</v>
      </c>
      <c r="BC27" s="108">
        <f t="shared" si="12"/>
        <v>0</v>
      </c>
      <c r="BD27" s="108">
        <f t="shared" si="13"/>
        <v>0</v>
      </c>
      <c r="BE27" s="108">
        <f t="shared" si="14"/>
        <v>0</v>
      </c>
      <c r="BF27" s="108">
        <f t="shared" si="15"/>
        <v>0</v>
      </c>
      <c r="BG27" s="108">
        <f t="shared" si="16"/>
        <v>0</v>
      </c>
      <c r="BL27" s="75" t="s">
        <v>234</v>
      </c>
      <c r="BM27" s="75" t="s">
        <v>249</v>
      </c>
      <c r="BN27" s="75" t="s">
        <v>234</v>
      </c>
      <c r="BO27" s="75" t="s">
        <v>234</v>
      </c>
      <c r="BP27" s="75" t="s">
        <v>234</v>
      </c>
      <c r="BQ27" s="75"/>
      <c r="BR27" s="75" t="s">
        <v>249</v>
      </c>
      <c r="BS27" s="75" t="s">
        <v>249</v>
      </c>
      <c r="BT27" s="75" t="s">
        <v>249</v>
      </c>
      <c r="BU27" s="75" t="s">
        <v>249</v>
      </c>
      <c r="BV27" s="75"/>
      <c r="BW27" s="81" t="s">
        <v>249</v>
      </c>
      <c r="BX27" s="81" t="s">
        <v>266</v>
      </c>
      <c r="BY27" s="81" t="s">
        <v>266</v>
      </c>
      <c r="BZ27" s="81" t="s">
        <v>266</v>
      </c>
      <c r="CA27" s="81" t="s">
        <v>266</v>
      </c>
      <c r="CB27" s="81" t="s">
        <v>249</v>
      </c>
      <c r="CC27" s="77"/>
      <c r="CD27" s="75" t="s">
        <v>234</v>
      </c>
      <c r="CE27" s="81" t="s">
        <v>266</v>
      </c>
      <c r="CF27" s="75" t="s">
        <v>234</v>
      </c>
      <c r="CG27" s="81" t="s">
        <v>266</v>
      </c>
      <c r="CH27" s="75" t="s">
        <v>234</v>
      </c>
      <c r="CI27" s="77"/>
      <c r="CJ27" s="81" t="s">
        <v>266</v>
      </c>
      <c r="CK27" s="81" t="s">
        <v>249</v>
      </c>
      <c r="CL27" s="81" t="s">
        <v>266</v>
      </c>
      <c r="CM27" s="81" t="s">
        <v>266</v>
      </c>
      <c r="CN27" s="81" t="s">
        <v>266</v>
      </c>
      <c r="CO27" s="81" t="s">
        <v>249</v>
      </c>
      <c r="CP27" s="81" t="s">
        <v>266</v>
      </c>
      <c r="CQ27" s="81" t="s">
        <v>266</v>
      </c>
      <c r="CR27" s="81" t="s">
        <v>266</v>
      </c>
      <c r="CS27" s="81" t="s">
        <v>266</v>
      </c>
      <c r="CT27" s="81" t="s">
        <v>266</v>
      </c>
      <c r="CU27" s="81"/>
      <c r="CV27" s="75" t="s">
        <v>249</v>
      </c>
      <c r="CW27" s="75" t="s">
        <v>249</v>
      </c>
      <c r="CX27" s="75" t="s">
        <v>249</v>
      </c>
      <c r="CY27" s="75" t="s">
        <v>249</v>
      </c>
      <c r="CZ27" s="75" t="s">
        <v>249</v>
      </c>
      <c r="DA27" s="81"/>
      <c r="DB27" s="75" t="s">
        <v>234</v>
      </c>
      <c r="DC27" s="75" t="s">
        <v>249</v>
      </c>
      <c r="DD27" s="75" t="s">
        <v>249</v>
      </c>
      <c r="DE27" s="75" t="s">
        <v>249</v>
      </c>
      <c r="DF27" s="75" t="s">
        <v>249</v>
      </c>
      <c r="DG27" s="75" t="s">
        <v>234</v>
      </c>
      <c r="DH27" s="75"/>
      <c r="DI27" s="75" t="s">
        <v>234</v>
      </c>
      <c r="DJ27" s="75" t="s">
        <v>249</v>
      </c>
      <c r="DK27" s="75" t="s">
        <v>249</v>
      </c>
      <c r="DL27" s="75" t="s">
        <v>234</v>
      </c>
      <c r="DM27" s="75" t="s">
        <v>234</v>
      </c>
      <c r="DN27" s="75" t="s">
        <v>234</v>
      </c>
      <c r="DO27" s="75"/>
      <c r="DP27" s="75" t="s">
        <v>234</v>
      </c>
      <c r="DQ27" s="75" t="s">
        <v>249</v>
      </c>
      <c r="DR27" s="75" t="s">
        <v>234</v>
      </c>
      <c r="DS27" s="75" t="s">
        <v>249</v>
      </c>
      <c r="DT27" s="75" t="s">
        <v>234</v>
      </c>
      <c r="DU27" s="75"/>
      <c r="DV27" s="75" t="s">
        <v>249</v>
      </c>
      <c r="DW27" s="75" t="s">
        <v>249</v>
      </c>
      <c r="DX27" s="75" t="s">
        <v>234</v>
      </c>
      <c r="DY27" s="75" t="s">
        <v>234</v>
      </c>
      <c r="DZ27" s="75" t="s">
        <v>249</v>
      </c>
      <c r="EA27" s="75" t="s">
        <v>249</v>
      </c>
      <c r="EB27" s="75" t="s">
        <v>234</v>
      </c>
      <c r="EC27" s="75" t="s">
        <v>249</v>
      </c>
      <c r="ED27" s="75" t="s">
        <v>249</v>
      </c>
      <c r="EE27" s="75"/>
      <c r="EF27" s="75" t="s">
        <v>234</v>
      </c>
      <c r="EG27" s="75" t="s">
        <v>249</v>
      </c>
      <c r="EH27" s="75" t="s">
        <v>234</v>
      </c>
      <c r="EI27" s="75" t="s">
        <v>249</v>
      </c>
      <c r="EJ27" s="75" t="s">
        <v>234</v>
      </c>
      <c r="EK27" s="75"/>
      <c r="EL27" s="75" t="s">
        <v>249</v>
      </c>
      <c r="EM27" s="75" t="s">
        <v>249</v>
      </c>
      <c r="EN27" s="75" t="s">
        <v>234</v>
      </c>
      <c r="EO27" s="75" t="s">
        <v>249</v>
      </c>
      <c r="EP27" s="75" t="s">
        <v>249</v>
      </c>
      <c r="EQ27" s="75"/>
      <c r="ER27" s="75" t="s">
        <v>234</v>
      </c>
      <c r="ES27" s="75" t="s">
        <v>249</v>
      </c>
      <c r="ET27" s="75" t="s">
        <v>249</v>
      </c>
      <c r="EU27" s="75" t="s">
        <v>249</v>
      </c>
      <c r="EV27" s="75" t="s">
        <v>234</v>
      </c>
      <c r="EW27" s="75" t="s">
        <v>234</v>
      </c>
      <c r="EX27" s="75" t="s">
        <v>234</v>
      </c>
      <c r="EY27" s="75"/>
      <c r="EZ27" s="75" t="s">
        <v>234</v>
      </c>
      <c r="FA27" s="75" t="s">
        <v>249</v>
      </c>
      <c r="FB27" s="75" t="s">
        <v>249</v>
      </c>
      <c r="FC27" s="75" t="s">
        <v>234</v>
      </c>
      <c r="FD27" s="75" t="s">
        <v>234</v>
      </c>
      <c r="FE27" s="75" t="s">
        <v>234</v>
      </c>
      <c r="FF27" s="75"/>
      <c r="FG27" s="81" t="s">
        <v>266</v>
      </c>
      <c r="FH27" s="81" t="s">
        <v>249</v>
      </c>
      <c r="FI27" s="81" t="s">
        <v>266</v>
      </c>
      <c r="FJ27" s="81" t="s">
        <v>266</v>
      </c>
      <c r="FK27" s="81" t="s">
        <v>266</v>
      </c>
      <c r="FL27" s="75"/>
      <c r="FM27" s="75" t="s">
        <v>249</v>
      </c>
      <c r="FN27" s="75" t="s">
        <v>249</v>
      </c>
      <c r="FO27" s="75" t="s">
        <v>234</v>
      </c>
      <c r="FP27" s="75" t="s">
        <v>234</v>
      </c>
      <c r="FQ27" s="75" t="s">
        <v>249</v>
      </c>
      <c r="FR27" s="75"/>
      <c r="FS27" s="75" t="s">
        <v>234</v>
      </c>
      <c r="FT27" s="75" t="s">
        <v>249</v>
      </c>
      <c r="FU27" s="75" t="s">
        <v>234</v>
      </c>
      <c r="FV27" s="75" t="s">
        <v>249</v>
      </c>
      <c r="FW27" s="75" t="s">
        <v>234</v>
      </c>
      <c r="FX27" s="75" t="s">
        <v>234</v>
      </c>
      <c r="FY27" s="75"/>
      <c r="FZ27" s="75" t="s">
        <v>249</v>
      </c>
      <c r="GA27" s="75" t="s">
        <v>358</v>
      </c>
      <c r="GB27" s="75" t="s">
        <v>249</v>
      </c>
      <c r="GC27" s="75" t="s">
        <v>249</v>
      </c>
      <c r="GD27" s="75" t="s">
        <v>234</v>
      </c>
      <c r="GE27" s="75" t="s">
        <v>234</v>
      </c>
      <c r="GF27" s="75" t="s">
        <v>249</v>
      </c>
      <c r="GG27" s="75"/>
      <c r="GH27" s="81" t="s">
        <v>266</v>
      </c>
      <c r="GI27" s="81" t="s">
        <v>249</v>
      </c>
      <c r="GJ27" s="81" t="s">
        <v>266</v>
      </c>
      <c r="GK27" s="81" t="s">
        <v>266</v>
      </c>
      <c r="GL27" s="81" t="s">
        <v>266</v>
      </c>
      <c r="GM27" s="81"/>
      <c r="GN27" s="81" t="s">
        <v>228</v>
      </c>
      <c r="GO27" s="75" t="s">
        <v>249</v>
      </c>
      <c r="GP27" s="75" t="s">
        <v>249</v>
      </c>
      <c r="GQ27" s="81" t="s">
        <v>228</v>
      </c>
      <c r="GR27" s="81"/>
      <c r="GS27" s="75" t="s">
        <v>234</v>
      </c>
      <c r="GT27" s="75" t="s">
        <v>249</v>
      </c>
      <c r="GU27" s="75" t="s">
        <v>234</v>
      </c>
      <c r="GV27" s="75" t="s">
        <v>234</v>
      </c>
      <c r="GW27" s="75" t="s">
        <v>234</v>
      </c>
      <c r="GX27" s="75" t="s">
        <v>249</v>
      </c>
      <c r="GY27" s="75" t="s">
        <v>234</v>
      </c>
      <c r="GZ27" s="75" t="s">
        <v>234</v>
      </c>
      <c r="HA27" s="75" t="s">
        <v>234</v>
      </c>
      <c r="HB27" s="75" t="s">
        <v>234</v>
      </c>
      <c r="HC27" s="75" t="s">
        <v>249</v>
      </c>
      <c r="HD27" s="75" t="s">
        <v>234</v>
      </c>
      <c r="HE27" s="75"/>
      <c r="HF27" s="75" t="s">
        <v>234</v>
      </c>
      <c r="HG27" s="75" t="s">
        <v>249</v>
      </c>
      <c r="HH27" s="75" t="s">
        <v>249</v>
      </c>
      <c r="HI27" s="75" t="s">
        <v>234</v>
      </c>
      <c r="HJ27" s="75" t="s">
        <v>234</v>
      </c>
      <c r="HK27" s="75" t="s">
        <v>249</v>
      </c>
      <c r="HL27" s="75" t="s">
        <v>234</v>
      </c>
      <c r="HM27" s="75"/>
      <c r="HN27" s="75" t="s">
        <v>234</v>
      </c>
      <c r="HO27" s="75" t="s">
        <v>234</v>
      </c>
      <c r="HP27" s="75" t="s">
        <v>249</v>
      </c>
      <c r="HQ27" s="75" t="s">
        <v>249</v>
      </c>
      <c r="HR27" s="75" t="s">
        <v>234</v>
      </c>
      <c r="HS27" s="75" t="s">
        <v>234</v>
      </c>
      <c r="HT27" s="75"/>
      <c r="HU27" s="75" t="s">
        <v>234</v>
      </c>
      <c r="HV27" s="75" t="s">
        <v>249</v>
      </c>
      <c r="HW27" s="75" t="s">
        <v>234</v>
      </c>
      <c r="HX27" s="75" t="s">
        <v>234</v>
      </c>
      <c r="HY27" s="75" t="s">
        <v>234</v>
      </c>
      <c r="HZ27" s="75" t="s">
        <v>234</v>
      </c>
      <c r="IA27" s="75"/>
      <c r="IB27" s="81" t="s">
        <v>266</v>
      </c>
      <c r="IC27" s="81" t="s">
        <v>249</v>
      </c>
      <c r="ID27" s="81" t="s">
        <v>249</v>
      </c>
      <c r="IE27" s="81" t="s">
        <v>249</v>
      </c>
      <c r="IF27" s="81" t="s">
        <v>266</v>
      </c>
      <c r="IG27" s="81" t="s">
        <v>266</v>
      </c>
      <c r="IH27" s="81"/>
      <c r="II27" s="75" t="s">
        <v>249</v>
      </c>
      <c r="IJ27" s="75" t="s">
        <v>249</v>
      </c>
      <c r="IK27" s="75" t="s">
        <v>249</v>
      </c>
      <c r="IL27" s="75" t="s">
        <v>249</v>
      </c>
      <c r="IM27" s="75" t="s">
        <v>249</v>
      </c>
      <c r="IN27" s="81"/>
      <c r="IO27" s="81" t="s">
        <v>228</v>
      </c>
      <c r="IP27" s="75" t="s">
        <v>234</v>
      </c>
      <c r="IQ27" s="81" t="s">
        <v>228</v>
      </c>
      <c r="IR27" s="81" t="s">
        <v>228</v>
      </c>
      <c r="IS27" s="75" t="s">
        <v>234</v>
      </c>
      <c r="IT27" s="75" t="s">
        <v>249</v>
      </c>
      <c r="IU27" s="81" t="s">
        <v>228</v>
      </c>
      <c r="IV27" s="81"/>
      <c r="IW27" s="75" t="s">
        <v>234</v>
      </c>
      <c r="IX27" s="75" t="s">
        <v>234</v>
      </c>
      <c r="IY27" s="75" t="s">
        <v>249</v>
      </c>
      <c r="IZ27" s="75" t="s">
        <v>234</v>
      </c>
      <c r="JA27" s="75" t="s">
        <v>234</v>
      </c>
      <c r="JB27" s="81"/>
      <c r="JC27" s="81" t="s">
        <v>266</v>
      </c>
      <c r="JD27" s="81" t="s">
        <v>234</v>
      </c>
      <c r="JE27" s="81" t="s">
        <v>266</v>
      </c>
      <c r="JF27" s="81" t="s">
        <v>249</v>
      </c>
      <c r="JG27" s="81" t="s">
        <v>249</v>
      </c>
      <c r="JH27" s="81" t="s">
        <v>249</v>
      </c>
      <c r="JI27" s="81" t="s">
        <v>249</v>
      </c>
      <c r="JJ27" s="81" t="s">
        <v>266</v>
      </c>
      <c r="JK27" s="81" t="s">
        <v>266</v>
      </c>
      <c r="JL27" s="81"/>
      <c r="JM27" s="75" t="s">
        <v>234</v>
      </c>
      <c r="JN27" s="75" t="s">
        <v>249</v>
      </c>
      <c r="JO27" s="75" t="s">
        <v>234</v>
      </c>
      <c r="JP27" s="81"/>
      <c r="JQ27" s="75" t="s">
        <v>234</v>
      </c>
      <c r="JR27" s="75" t="s">
        <v>249</v>
      </c>
      <c r="JS27" s="75" t="s">
        <v>249</v>
      </c>
      <c r="JT27" s="75" t="s">
        <v>249</v>
      </c>
      <c r="JU27" s="75" t="s">
        <v>234</v>
      </c>
      <c r="JV27" s="75" t="s">
        <v>234</v>
      </c>
    </row>
    <row r="28" spans="1:282" x14ac:dyDescent="0.15">
      <c r="A28" s="214" t="s">
        <v>60</v>
      </c>
      <c r="B28" s="6" t="s">
        <v>536</v>
      </c>
      <c r="C28" s="6">
        <v>115000</v>
      </c>
      <c r="D28" s="6">
        <v>1</v>
      </c>
      <c r="E28" s="6">
        <v>4</v>
      </c>
      <c r="F28" s="6">
        <v>5</v>
      </c>
      <c r="G28" s="6" t="s">
        <v>40</v>
      </c>
      <c r="H28" s="6" t="s">
        <v>40</v>
      </c>
      <c r="I28" s="6" t="s">
        <v>41</v>
      </c>
      <c r="J28" s="21" t="s">
        <v>50</v>
      </c>
      <c r="K28" s="21">
        <v>2</v>
      </c>
      <c r="L28" s="21">
        <v>2</v>
      </c>
      <c r="M28" s="21">
        <v>1</v>
      </c>
      <c r="N28" s="21">
        <v>0</v>
      </c>
      <c r="O28" s="21">
        <v>2</v>
      </c>
      <c r="P28" s="21" t="str">
        <f>IF(TeamT[[#This Row],[General]]+TeamT[[#This Row],[Agility]]+TeamT[[#This Row],[Strength]]+TeamT[[#This Row],[Passing]]+TeamT[[#This Row],[Mutation]]&gt;0,IF(TeamT[[#This Row],[General]]=1,"G","")&amp;IF(TeamT[[#This Row],[Agility]]=1,"A","")&amp;IF(TeamT[[#This Row],[Strength]]=1,"S","")&amp;IF(TeamT[[#This Row],[Passing]]=1,"P","")&amp;IF(TeamT[[#This Row],[Mutation]]=1,"M",""),"Star")</f>
        <v>S</v>
      </c>
      <c r="Q28" s="21" t="str">
        <f>IF(TeamT[[#This Row],[General]]=2,"G","")&amp;IF(TeamT[[#This Row],[Agility]]=2,"A","")&amp;IF(TeamT[[#This Row],[Strength]]=2,"S","")&amp;IF(TeamT[[#This Row],[Passing]]=2,"P","")&amp;IF(TeamT[[#This Row],[Mutation]]=2,"M","")</f>
        <v>GAM</v>
      </c>
      <c r="R28" s="212"/>
      <c r="S28" s="21">
        <v>5</v>
      </c>
      <c r="T28" s="21">
        <v>5</v>
      </c>
      <c r="U28" s="21">
        <v>10</v>
      </c>
      <c r="AA28" s="76" t="e">
        <f>HLOOKUP(Roster!$E$5,Team!$BL$2:$MK$128,27,FALSE)</f>
        <v>#N/A</v>
      </c>
      <c r="AB28" s="76" t="e">
        <f>HLOOKUP(Roster!$E$6,Team!$BL$2:$MK$128,27,FALSE)</f>
        <v>#N/A</v>
      </c>
      <c r="AC28" s="76" t="e">
        <f>HLOOKUP(Roster!$E$7,Team!$BL$2:$MK$128,27,FALSE)</f>
        <v>#N/A</v>
      </c>
      <c r="AD28" s="76" t="e">
        <f>HLOOKUP(Roster!$E$8,Team!$BL$2:$MK$128,27,FALSE)</f>
        <v>#N/A</v>
      </c>
      <c r="AE28" s="76" t="e">
        <f>HLOOKUP(Roster!$E$9,Team!$BL$2:$MK$128,27,FALSE)</f>
        <v>#N/A</v>
      </c>
      <c r="AF28" s="76" t="e">
        <f>HLOOKUP(Roster!$E$10,Team!$BL$2:$MK$128,27,FALSE)</f>
        <v>#N/A</v>
      </c>
      <c r="AG28" s="76" t="e">
        <f>HLOOKUP(Roster!$E$11,Team!$BL$2:$MK$128,27,FALSE)</f>
        <v>#N/A</v>
      </c>
      <c r="AH28" s="76" t="e">
        <f>HLOOKUP(Roster!$E$12,Team!$BL$2:$MK$128,27,FALSE)</f>
        <v>#N/A</v>
      </c>
      <c r="AI28" s="76" t="e">
        <f>HLOOKUP(Roster!$E$13,Team!$BL$2:$MK$128,27,FALSE)</f>
        <v>#N/A</v>
      </c>
      <c r="AJ28" s="76" t="e">
        <f>HLOOKUP(Roster!$E$14,Team!$BL$2:$MK$128,27,FALSE)</f>
        <v>#N/A</v>
      </c>
      <c r="AK28" s="76" t="e">
        <f>HLOOKUP(Roster!$E$15,Team!$BL$2:$MK$128,27,FALSE)</f>
        <v>#N/A</v>
      </c>
      <c r="AL28" s="76" t="e">
        <f>HLOOKUP(Roster!$E$16,Team!$BL$2:$MK$128,27,FALSE)</f>
        <v>#N/A</v>
      </c>
      <c r="AM28" s="76" t="e">
        <f>HLOOKUP(Roster!$E$17,Team!$BL$2:$MK$128,27,FALSE)</f>
        <v>#N/A</v>
      </c>
      <c r="AN28" s="76" t="e">
        <f>HLOOKUP(Roster!$E$18,Team!$BL$2:$MK$128,27,FALSE)</f>
        <v>#N/A</v>
      </c>
      <c r="AO28" s="76" t="e">
        <f>HLOOKUP(Roster!$E$19,Team!$BL$2:$MK$128,27,FALSE)</f>
        <v>#N/A</v>
      </c>
      <c r="AP28" s="76" t="e">
        <f>HLOOKUP(Roster!$E$20,Team!$BL$2:$MK$128,27,FALSE)</f>
        <v>#N/A</v>
      </c>
      <c r="AR28" s="108">
        <f t="shared" si="1"/>
        <v>0</v>
      </c>
      <c r="AS28" s="108">
        <f t="shared" si="2"/>
        <v>0</v>
      </c>
      <c r="AT28" s="108">
        <f t="shared" si="3"/>
        <v>0</v>
      </c>
      <c r="AU28" s="108">
        <f t="shared" si="4"/>
        <v>0</v>
      </c>
      <c r="AV28" s="108">
        <f t="shared" si="5"/>
        <v>0</v>
      </c>
      <c r="AW28" s="108">
        <f t="shared" si="6"/>
        <v>0</v>
      </c>
      <c r="AX28" s="108">
        <f t="shared" si="7"/>
        <v>0</v>
      </c>
      <c r="AY28" s="108">
        <f t="shared" si="8"/>
        <v>0</v>
      </c>
      <c r="AZ28" s="108">
        <f t="shared" si="9"/>
        <v>0</v>
      </c>
      <c r="BA28" s="108">
        <f t="shared" si="10"/>
        <v>0</v>
      </c>
      <c r="BB28" s="108">
        <f t="shared" si="11"/>
        <v>0</v>
      </c>
      <c r="BC28" s="108">
        <f t="shared" si="12"/>
        <v>0</v>
      </c>
      <c r="BD28" s="108">
        <f t="shared" si="13"/>
        <v>0</v>
      </c>
      <c r="BE28" s="108">
        <f t="shared" si="14"/>
        <v>0</v>
      </c>
      <c r="BF28" s="108">
        <f t="shared" si="15"/>
        <v>0</v>
      </c>
      <c r="BG28" s="108">
        <f t="shared" si="16"/>
        <v>0</v>
      </c>
      <c r="BL28" s="75" t="s">
        <v>235</v>
      </c>
      <c r="BM28" s="75" t="s">
        <v>250</v>
      </c>
      <c r="BN28" s="75" t="s">
        <v>235</v>
      </c>
      <c r="BO28" s="75" t="s">
        <v>235</v>
      </c>
      <c r="BP28" s="75" t="s">
        <v>235</v>
      </c>
      <c r="BQ28" s="75"/>
      <c r="BR28" s="75" t="s">
        <v>250</v>
      </c>
      <c r="BS28" s="75" t="s">
        <v>250</v>
      </c>
      <c r="BT28" s="75" t="s">
        <v>250</v>
      </c>
      <c r="BU28" s="75" t="s">
        <v>250</v>
      </c>
      <c r="BV28" s="75"/>
      <c r="BW28" s="81" t="s">
        <v>250</v>
      </c>
      <c r="BX28" s="81" t="s">
        <v>267</v>
      </c>
      <c r="BY28" s="81" t="s">
        <v>267</v>
      </c>
      <c r="BZ28" s="81" t="s">
        <v>267</v>
      </c>
      <c r="CA28" s="81" t="s">
        <v>267</v>
      </c>
      <c r="CB28" s="81" t="s">
        <v>250</v>
      </c>
      <c r="CC28" s="77"/>
      <c r="CD28" s="75" t="s">
        <v>235</v>
      </c>
      <c r="CE28" s="81" t="s">
        <v>267</v>
      </c>
      <c r="CF28" s="75" t="s">
        <v>235</v>
      </c>
      <c r="CG28" s="81" t="s">
        <v>267</v>
      </c>
      <c r="CH28" s="75" t="s">
        <v>235</v>
      </c>
      <c r="CI28" s="77"/>
      <c r="CJ28" s="81" t="s">
        <v>267</v>
      </c>
      <c r="CK28" s="81" t="s">
        <v>250</v>
      </c>
      <c r="CL28" s="81" t="s">
        <v>267</v>
      </c>
      <c r="CM28" s="81" t="s">
        <v>267</v>
      </c>
      <c r="CN28" s="81" t="s">
        <v>267</v>
      </c>
      <c r="CO28" s="81" t="s">
        <v>250</v>
      </c>
      <c r="CP28" s="81" t="s">
        <v>267</v>
      </c>
      <c r="CQ28" s="81" t="s">
        <v>267</v>
      </c>
      <c r="CR28" s="81" t="s">
        <v>267</v>
      </c>
      <c r="CS28" s="81" t="s">
        <v>267</v>
      </c>
      <c r="CT28" s="81" t="s">
        <v>267</v>
      </c>
      <c r="CU28" s="81"/>
      <c r="CV28" s="75" t="s">
        <v>250</v>
      </c>
      <c r="CW28" s="75" t="s">
        <v>250</v>
      </c>
      <c r="CX28" s="75" t="s">
        <v>250</v>
      </c>
      <c r="CY28" s="75" t="s">
        <v>250</v>
      </c>
      <c r="CZ28" s="75" t="s">
        <v>250</v>
      </c>
      <c r="DA28" s="81"/>
      <c r="DB28" s="75" t="s">
        <v>235</v>
      </c>
      <c r="DC28" s="75" t="s">
        <v>250</v>
      </c>
      <c r="DD28" s="75" t="s">
        <v>250</v>
      </c>
      <c r="DE28" s="75" t="s">
        <v>250</v>
      </c>
      <c r="DF28" s="75" t="s">
        <v>250</v>
      </c>
      <c r="DG28" s="75" t="s">
        <v>235</v>
      </c>
      <c r="DH28" s="75"/>
      <c r="DI28" s="75" t="s">
        <v>235</v>
      </c>
      <c r="DJ28" s="75" t="s">
        <v>250</v>
      </c>
      <c r="DK28" s="75" t="s">
        <v>250</v>
      </c>
      <c r="DL28" s="75" t="s">
        <v>235</v>
      </c>
      <c r="DM28" s="75" t="s">
        <v>235</v>
      </c>
      <c r="DN28" s="75" t="s">
        <v>235</v>
      </c>
      <c r="DO28" s="75"/>
      <c r="DP28" s="75" t="s">
        <v>235</v>
      </c>
      <c r="DQ28" s="75" t="s">
        <v>250</v>
      </c>
      <c r="DR28" s="75" t="s">
        <v>235</v>
      </c>
      <c r="DS28" s="75" t="s">
        <v>250</v>
      </c>
      <c r="DT28" s="75" t="s">
        <v>235</v>
      </c>
      <c r="DU28" s="75"/>
      <c r="DV28" s="75" t="s">
        <v>250</v>
      </c>
      <c r="DW28" s="75" t="s">
        <v>250</v>
      </c>
      <c r="DX28" s="75" t="s">
        <v>235</v>
      </c>
      <c r="DY28" s="75" t="s">
        <v>235</v>
      </c>
      <c r="DZ28" s="75" t="s">
        <v>250</v>
      </c>
      <c r="EA28" s="75" t="s">
        <v>250</v>
      </c>
      <c r="EB28" s="75" t="s">
        <v>235</v>
      </c>
      <c r="EC28" s="75" t="s">
        <v>250</v>
      </c>
      <c r="ED28" s="75" t="s">
        <v>250</v>
      </c>
      <c r="EE28" s="75"/>
      <c r="EF28" s="75" t="s">
        <v>235</v>
      </c>
      <c r="EG28" s="75" t="s">
        <v>250</v>
      </c>
      <c r="EH28" s="75" t="s">
        <v>235</v>
      </c>
      <c r="EI28" s="75" t="s">
        <v>250</v>
      </c>
      <c r="EJ28" s="75" t="s">
        <v>235</v>
      </c>
      <c r="EK28" s="75"/>
      <c r="EL28" s="75" t="s">
        <v>250</v>
      </c>
      <c r="EM28" s="75" t="s">
        <v>250</v>
      </c>
      <c r="EN28" s="75" t="s">
        <v>235</v>
      </c>
      <c r="EO28" s="75" t="s">
        <v>250</v>
      </c>
      <c r="EP28" s="75" t="s">
        <v>250</v>
      </c>
      <c r="EQ28" s="75"/>
      <c r="ER28" s="75" t="s">
        <v>235</v>
      </c>
      <c r="ES28" s="75" t="s">
        <v>250</v>
      </c>
      <c r="ET28" s="75" t="s">
        <v>250</v>
      </c>
      <c r="EU28" s="75" t="s">
        <v>250</v>
      </c>
      <c r="EV28" s="75" t="s">
        <v>235</v>
      </c>
      <c r="EW28" s="75" t="s">
        <v>235</v>
      </c>
      <c r="EX28" s="75" t="s">
        <v>235</v>
      </c>
      <c r="EY28" s="75"/>
      <c r="EZ28" s="75" t="s">
        <v>235</v>
      </c>
      <c r="FA28" s="75" t="s">
        <v>250</v>
      </c>
      <c r="FB28" s="75" t="s">
        <v>250</v>
      </c>
      <c r="FC28" s="75" t="s">
        <v>235</v>
      </c>
      <c r="FD28" s="75" t="s">
        <v>235</v>
      </c>
      <c r="FE28" s="75" t="s">
        <v>235</v>
      </c>
      <c r="FF28" s="75"/>
      <c r="FG28" s="81" t="s">
        <v>267</v>
      </c>
      <c r="FH28" s="81" t="s">
        <v>250</v>
      </c>
      <c r="FI28" s="81" t="s">
        <v>267</v>
      </c>
      <c r="FJ28" s="81" t="s">
        <v>267</v>
      </c>
      <c r="FK28" s="81" t="s">
        <v>267</v>
      </c>
      <c r="FL28" s="75"/>
      <c r="FM28" s="75" t="s">
        <v>250</v>
      </c>
      <c r="FN28" s="75" t="s">
        <v>250</v>
      </c>
      <c r="FO28" s="75" t="s">
        <v>235</v>
      </c>
      <c r="FP28" s="75" t="s">
        <v>235</v>
      </c>
      <c r="FQ28" s="75" t="s">
        <v>250</v>
      </c>
      <c r="FR28" s="75"/>
      <c r="FS28" s="75" t="s">
        <v>235</v>
      </c>
      <c r="FT28" s="75" t="s">
        <v>250</v>
      </c>
      <c r="FU28" s="75" t="s">
        <v>235</v>
      </c>
      <c r="FV28" s="75" t="s">
        <v>250</v>
      </c>
      <c r="FW28" s="75" t="s">
        <v>235</v>
      </c>
      <c r="FX28" s="75" t="s">
        <v>235</v>
      </c>
      <c r="FY28" s="75"/>
      <c r="FZ28" s="75" t="s">
        <v>250</v>
      </c>
      <c r="GA28" s="74" t="s">
        <v>359</v>
      </c>
      <c r="GB28" s="75" t="s">
        <v>250</v>
      </c>
      <c r="GC28" s="75" t="s">
        <v>250</v>
      </c>
      <c r="GD28" s="75" t="s">
        <v>235</v>
      </c>
      <c r="GE28" s="75" t="s">
        <v>235</v>
      </c>
      <c r="GF28" s="75" t="s">
        <v>250</v>
      </c>
      <c r="GG28" s="75"/>
      <c r="GH28" s="81" t="s">
        <v>267</v>
      </c>
      <c r="GI28" s="81" t="s">
        <v>250</v>
      </c>
      <c r="GJ28" s="81" t="s">
        <v>267</v>
      </c>
      <c r="GK28" s="81" t="s">
        <v>267</v>
      </c>
      <c r="GL28" s="81" t="s">
        <v>267</v>
      </c>
      <c r="GM28" s="81"/>
      <c r="GN28" s="80" t="s">
        <v>260</v>
      </c>
      <c r="GO28" s="75" t="s">
        <v>250</v>
      </c>
      <c r="GP28" s="75" t="s">
        <v>250</v>
      </c>
      <c r="GQ28" s="80" t="s">
        <v>260</v>
      </c>
      <c r="GR28" s="80"/>
      <c r="GS28" s="75" t="s">
        <v>235</v>
      </c>
      <c r="GT28" s="75" t="s">
        <v>250</v>
      </c>
      <c r="GU28" s="75" t="s">
        <v>235</v>
      </c>
      <c r="GV28" s="75" t="s">
        <v>235</v>
      </c>
      <c r="GW28" s="75" t="s">
        <v>235</v>
      </c>
      <c r="GX28" s="75" t="s">
        <v>250</v>
      </c>
      <c r="GY28" s="75" t="s">
        <v>235</v>
      </c>
      <c r="GZ28" s="75" t="s">
        <v>235</v>
      </c>
      <c r="HA28" s="75" t="s">
        <v>235</v>
      </c>
      <c r="HB28" s="75" t="s">
        <v>235</v>
      </c>
      <c r="HC28" s="75" t="s">
        <v>250</v>
      </c>
      <c r="HD28" s="75" t="s">
        <v>235</v>
      </c>
      <c r="HE28" s="75"/>
      <c r="HF28" s="75" t="s">
        <v>235</v>
      </c>
      <c r="HG28" s="75" t="s">
        <v>250</v>
      </c>
      <c r="HH28" s="75" t="s">
        <v>250</v>
      </c>
      <c r="HI28" s="75" t="s">
        <v>235</v>
      </c>
      <c r="HJ28" s="75" t="s">
        <v>235</v>
      </c>
      <c r="HK28" s="75" t="s">
        <v>250</v>
      </c>
      <c r="HL28" s="75" t="s">
        <v>235</v>
      </c>
      <c r="HM28" s="75"/>
      <c r="HN28" s="75" t="s">
        <v>235</v>
      </c>
      <c r="HO28" s="75" t="s">
        <v>235</v>
      </c>
      <c r="HP28" s="75" t="s">
        <v>250</v>
      </c>
      <c r="HQ28" s="75" t="s">
        <v>250</v>
      </c>
      <c r="HR28" s="75" t="s">
        <v>235</v>
      </c>
      <c r="HS28" s="75" t="s">
        <v>235</v>
      </c>
      <c r="HT28" s="75"/>
      <c r="HU28" s="75" t="s">
        <v>235</v>
      </c>
      <c r="HV28" s="75" t="s">
        <v>250</v>
      </c>
      <c r="HW28" s="75" t="s">
        <v>235</v>
      </c>
      <c r="HX28" s="75" t="s">
        <v>235</v>
      </c>
      <c r="HY28" s="75" t="s">
        <v>235</v>
      </c>
      <c r="HZ28" s="75" t="s">
        <v>235</v>
      </c>
      <c r="IA28" s="75"/>
      <c r="IB28" s="81" t="s">
        <v>267</v>
      </c>
      <c r="IC28" s="81" t="s">
        <v>250</v>
      </c>
      <c r="ID28" s="81" t="s">
        <v>250</v>
      </c>
      <c r="IE28" s="81" t="s">
        <v>250</v>
      </c>
      <c r="IF28" s="81" t="s">
        <v>267</v>
      </c>
      <c r="IG28" s="81" t="s">
        <v>267</v>
      </c>
      <c r="IH28" s="81"/>
      <c r="II28" s="75" t="s">
        <v>250</v>
      </c>
      <c r="IJ28" s="75" t="s">
        <v>250</v>
      </c>
      <c r="IK28" s="75" t="s">
        <v>250</v>
      </c>
      <c r="IL28" s="75" t="s">
        <v>250</v>
      </c>
      <c r="IM28" s="75" t="s">
        <v>250</v>
      </c>
      <c r="IN28" s="81"/>
      <c r="IO28" s="80" t="s">
        <v>260</v>
      </c>
      <c r="IP28" s="75" t="s">
        <v>235</v>
      </c>
      <c r="IQ28" s="80" t="s">
        <v>260</v>
      </c>
      <c r="IR28" s="80" t="s">
        <v>260</v>
      </c>
      <c r="IS28" s="75" t="s">
        <v>235</v>
      </c>
      <c r="IT28" s="75" t="s">
        <v>250</v>
      </c>
      <c r="IU28" s="80" t="s">
        <v>260</v>
      </c>
      <c r="IV28" s="80"/>
      <c r="IW28" s="75" t="s">
        <v>235</v>
      </c>
      <c r="IX28" s="75" t="s">
        <v>235</v>
      </c>
      <c r="IY28" s="75" t="s">
        <v>250</v>
      </c>
      <c r="IZ28" s="75" t="s">
        <v>235</v>
      </c>
      <c r="JA28" s="75" t="s">
        <v>235</v>
      </c>
      <c r="JB28" s="80"/>
      <c r="JC28" s="81" t="s">
        <v>267</v>
      </c>
      <c r="JD28" s="81" t="s">
        <v>235</v>
      </c>
      <c r="JE28" s="81" t="s">
        <v>267</v>
      </c>
      <c r="JF28" s="81" t="s">
        <v>250</v>
      </c>
      <c r="JG28" s="81" t="s">
        <v>250</v>
      </c>
      <c r="JH28" s="81" t="s">
        <v>250</v>
      </c>
      <c r="JI28" s="81" t="s">
        <v>250</v>
      </c>
      <c r="JJ28" s="81" t="s">
        <v>267</v>
      </c>
      <c r="JK28" s="81" t="s">
        <v>267</v>
      </c>
      <c r="JL28" s="81"/>
      <c r="JM28" s="75" t="s">
        <v>235</v>
      </c>
      <c r="JN28" s="75" t="s">
        <v>250</v>
      </c>
      <c r="JO28" s="75" t="s">
        <v>235</v>
      </c>
      <c r="JP28" s="81"/>
      <c r="JQ28" s="75" t="s">
        <v>235</v>
      </c>
      <c r="JR28" s="75" t="s">
        <v>250</v>
      </c>
      <c r="JS28" s="75" t="s">
        <v>250</v>
      </c>
      <c r="JT28" s="75" t="s">
        <v>250</v>
      </c>
      <c r="JU28" s="75" t="s">
        <v>235</v>
      </c>
      <c r="JV28" s="75" t="s">
        <v>235</v>
      </c>
    </row>
    <row r="29" spans="1:282" x14ac:dyDescent="0.15">
      <c r="A29" s="214" t="s">
        <v>61</v>
      </c>
      <c r="B29" s="6" t="s">
        <v>536</v>
      </c>
      <c r="C29" s="6">
        <v>140000</v>
      </c>
      <c r="D29" s="6">
        <v>1</v>
      </c>
      <c r="E29" s="6">
        <v>5</v>
      </c>
      <c r="F29" s="6">
        <v>5</v>
      </c>
      <c r="G29" s="6" t="s">
        <v>37</v>
      </c>
      <c r="H29" s="6" t="s">
        <v>40</v>
      </c>
      <c r="I29" s="6" t="s">
        <v>41</v>
      </c>
      <c r="J29" s="21" t="s">
        <v>52</v>
      </c>
      <c r="K29" s="21">
        <v>2</v>
      </c>
      <c r="L29" s="21">
        <v>2</v>
      </c>
      <c r="M29" s="21">
        <v>1</v>
      </c>
      <c r="N29" s="21">
        <v>0</v>
      </c>
      <c r="O29" s="21">
        <v>2</v>
      </c>
      <c r="P29" s="21" t="str">
        <f>IF(TeamT[[#This Row],[General]]+TeamT[[#This Row],[Agility]]+TeamT[[#This Row],[Strength]]+TeamT[[#This Row],[Passing]]+TeamT[[#This Row],[Mutation]]&gt;0,IF(TeamT[[#This Row],[General]]=1,"G","")&amp;IF(TeamT[[#This Row],[Agility]]=1,"A","")&amp;IF(TeamT[[#This Row],[Strength]]=1,"S","")&amp;IF(TeamT[[#This Row],[Passing]]=1,"P","")&amp;IF(TeamT[[#This Row],[Mutation]]=1,"M",""),"Star")</f>
        <v>S</v>
      </c>
      <c r="Q29" s="21" t="str">
        <f>IF(TeamT[[#This Row],[General]]=2,"G","")&amp;IF(TeamT[[#This Row],[Agility]]=2,"A","")&amp;IF(TeamT[[#This Row],[Strength]]=2,"S","")&amp;IF(TeamT[[#This Row],[Passing]]=2,"P","")&amp;IF(TeamT[[#This Row],[Mutation]]=2,"M","")</f>
        <v>GAM</v>
      </c>
      <c r="R29" s="212"/>
      <c r="S29" s="21">
        <v>4</v>
      </c>
      <c r="T29" s="21">
        <v>5</v>
      </c>
      <c r="U29" s="21">
        <v>10</v>
      </c>
      <c r="AA29" s="76" t="e">
        <f>HLOOKUP(Roster!$E$5,Team!$BL$2:$MK$128,28,FALSE)</f>
        <v>#N/A</v>
      </c>
      <c r="AB29" s="76" t="e">
        <f>HLOOKUP(Roster!$E$6,Team!$BL$2:$MK$128,28,FALSE)</f>
        <v>#N/A</v>
      </c>
      <c r="AC29" s="76" t="e">
        <f>HLOOKUP(Roster!$E$7,Team!$BL$2:$MK$128,28,FALSE)</f>
        <v>#N/A</v>
      </c>
      <c r="AD29" s="76" t="e">
        <f>HLOOKUP(Roster!$E$8,Team!$BL$2:$MK$128,28,FALSE)</f>
        <v>#N/A</v>
      </c>
      <c r="AE29" s="76" t="e">
        <f>HLOOKUP(Roster!$E$9,Team!$BL$2:$MK$128,28,FALSE)</f>
        <v>#N/A</v>
      </c>
      <c r="AF29" s="76" t="e">
        <f>HLOOKUP(Roster!$E$10,Team!$BL$2:$MK$128,28,FALSE)</f>
        <v>#N/A</v>
      </c>
      <c r="AG29" s="76" t="e">
        <f>HLOOKUP(Roster!$E$11,Team!$BL$2:$MK$128,28,FALSE)</f>
        <v>#N/A</v>
      </c>
      <c r="AH29" s="76" t="e">
        <f>HLOOKUP(Roster!$E$12,Team!$BL$2:$MK$128,28,FALSE)</f>
        <v>#N/A</v>
      </c>
      <c r="AI29" s="76" t="e">
        <f>HLOOKUP(Roster!$E$13,Team!$BL$2:$MK$128,28,FALSE)</f>
        <v>#N/A</v>
      </c>
      <c r="AJ29" s="76" t="e">
        <f>HLOOKUP(Roster!$E$14,Team!$BL$2:$MK$128,28,FALSE)</f>
        <v>#N/A</v>
      </c>
      <c r="AK29" s="76" t="e">
        <f>HLOOKUP(Roster!$E$15,Team!$BL$2:$MK$128,28,FALSE)</f>
        <v>#N/A</v>
      </c>
      <c r="AL29" s="76" t="e">
        <f>HLOOKUP(Roster!$E$16,Team!$BL$2:$MK$128,28,FALSE)</f>
        <v>#N/A</v>
      </c>
      <c r="AM29" s="76" t="e">
        <f>HLOOKUP(Roster!$E$17,Team!$BL$2:$MK$128,28,FALSE)</f>
        <v>#N/A</v>
      </c>
      <c r="AN29" s="76" t="e">
        <f>HLOOKUP(Roster!$E$18,Team!$BL$2:$MK$128,28,FALSE)</f>
        <v>#N/A</v>
      </c>
      <c r="AO29" s="76" t="e">
        <f>HLOOKUP(Roster!$E$19,Team!$BL$2:$MK$128,28,FALSE)</f>
        <v>#N/A</v>
      </c>
      <c r="AP29" s="76" t="e">
        <f>HLOOKUP(Roster!$E$20,Team!$BL$2:$MK$128,28,FALSE)</f>
        <v>#N/A</v>
      </c>
      <c r="AR29" s="108">
        <f t="shared" si="1"/>
        <v>0</v>
      </c>
      <c r="AS29" s="108">
        <f t="shared" si="2"/>
        <v>0</v>
      </c>
      <c r="AT29" s="108">
        <f t="shared" si="3"/>
        <v>0</v>
      </c>
      <c r="AU29" s="108">
        <f t="shared" si="4"/>
        <v>0</v>
      </c>
      <c r="AV29" s="108">
        <f t="shared" si="5"/>
        <v>0</v>
      </c>
      <c r="AW29" s="108">
        <f t="shared" si="6"/>
        <v>0</v>
      </c>
      <c r="AX29" s="108">
        <f t="shared" si="7"/>
        <v>0</v>
      </c>
      <c r="AY29" s="108">
        <f t="shared" si="8"/>
        <v>0</v>
      </c>
      <c r="AZ29" s="108">
        <f t="shared" si="9"/>
        <v>0</v>
      </c>
      <c r="BA29" s="108">
        <f t="shared" si="10"/>
        <v>0</v>
      </c>
      <c r="BB29" s="108">
        <f t="shared" si="11"/>
        <v>0</v>
      </c>
      <c r="BC29" s="108">
        <f t="shared" si="12"/>
        <v>0</v>
      </c>
      <c r="BD29" s="108">
        <f t="shared" si="13"/>
        <v>0</v>
      </c>
      <c r="BE29" s="108">
        <f t="shared" si="14"/>
        <v>0</v>
      </c>
      <c r="BF29" s="108">
        <f t="shared" si="15"/>
        <v>0</v>
      </c>
      <c r="BG29" s="108">
        <f t="shared" si="16"/>
        <v>0</v>
      </c>
      <c r="BL29" s="75" t="s">
        <v>236</v>
      </c>
      <c r="BM29" s="74" t="s">
        <v>271</v>
      </c>
      <c r="BN29" s="75" t="s">
        <v>236</v>
      </c>
      <c r="BO29" s="75" t="s">
        <v>236</v>
      </c>
      <c r="BP29" s="75" t="s">
        <v>236</v>
      </c>
      <c r="BQ29" s="74"/>
      <c r="BR29" s="74" t="s">
        <v>271</v>
      </c>
      <c r="BS29" s="74" t="s">
        <v>271</v>
      </c>
      <c r="BT29" s="74" t="s">
        <v>271</v>
      </c>
      <c r="BU29" s="74" t="s">
        <v>271</v>
      </c>
      <c r="BV29" s="74"/>
      <c r="BW29" s="80" t="s">
        <v>271</v>
      </c>
      <c r="BX29" s="81" t="s">
        <v>243</v>
      </c>
      <c r="BY29" s="81" t="s">
        <v>243</v>
      </c>
      <c r="BZ29" s="81" t="s">
        <v>243</v>
      </c>
      <c r="CA29" s="81" t="s">
        <v>243</v>
      </c>
      <c r="CB29" s="80" t="s">
        <v>271</v>
      </c>
      <c r="CC29" s="77"/>
      <c r="CD29" s="75" t="s">
        <v>236</v>
      </c>
      <c r="CE29" s="81" t="s">
        <v>243</v>
      </c>
      <c r="CF29" s="75" t="s">
        <v>236</v>
      </c>
      <c r="CG29" s="81" t="s">
        <v>243</v>
      </c>
      <c r="CH29" s="75" t="s">
        <v>236</v>
      </c>
      <c r="CI29" s="77"/>
      <c r="CJ29" s="81" t="s">
        <v>243</v>
      </c>
      <c r="CK29" s="80" t="s">
        <v>271</v>
      </c>
      <c r="CL29" s="81" t="s">
        <v>243</v>
      </c>
      <c r="CM29" s="81" t="s">
        <v>243</v>
      </c>
      <c r="CN29" s="81" t="s">
        <v>243</v>
      </c>
      <c r="CO29" s="80" t="s">
        <v>271</v>
      </c>
      <c r="CP29" s="81" t="s">
        <v>243</v>
      </c>
      <c r="CQ29" s="81" t="s">
        <v>243</v>
      </c>
      <c r="CR29" s="81" t="s">
        <v>243</v>
      </c>
      <c r="CS29" s="81" t="s">
        <v>243</v>
      </c>
      <c r="CT29" s="81" t="s">
        <v>243</v>
      </c>
      <c r="CU29" s="81"/>
      <c r="CV29" s="74" t="s">
        <v>271</v>
      </c>
      <c r="CW29" s="74" t="s">
        <v>271</v>
      </c>
      <c r="CX29" s="74" t="s">
        <v>271</v>
      </c>
      <c r="CY29" s="74" t="s">
        <v>271</v>
      </c>
      <c r="CZ29" s="74" t="s">
        <v>271</v>
      </c>
      <c r="DA29" s="81"/>
      <c r="DB29" s="75" t="s">
        <v>236</v>
      </c>
      <c r="DC29" s="74" t="s">
        <v>271</v>
      </c>
      <c r="DD29" s="74" t="s">
        <v>271</v>
      </c>
      <c r="DE29" s="74" t="s">
        <v>271</v>
      </c>
      <c r="DF29" s="74" t="s">
        <v>271</v>
      </c>
      <c r="DG29" s="75" t="s">
        <v>236</v>
      </c>
      <c r="DH29" s="75"/>
      <c r="DI29" s="75" t="s">
        <v>236</v>
      </c>
      <c r="DJ29" s="74" t="s">
        <v>271</v>
      </c>
      <c r="DK29" s="74" t="s">
        <v>271</v>
      </c>
      <c r="DL29" s="75" t="s">
        <v>236</v>
      </c>
      <c r="DM29" s="75" t="s">
        <v>236</v>
      </c>
      <c r="DN29" s="75" t="s">
        <v>236</v>
      </c>
      <c r="DO29" s="75"/>
      <c r="DP29" s="75" t="s">
        <v>236</v>
      </c>
      <c r="DQ29" s="74" t="s">
        <v>271</v>
      </c>
      <c r="DR29" s="75" t="s">
        <v>236</v>
      </c>
      <c r="DS29" s="74" t="s">
        <v>271</v>
      </c>
      <c r="DT29" s="75" t="s">
        <v>236</v>
      </c>
      <c r="DU29" s="75"/>
      <c r="DV29" s="74" t="s">
        <v>271</v>
      </c>
      <c r="DW29" s="74" t="s">
        <v>271</v>
      </c>
      <c r="DX29" s="75" t="s">
        <v>236</v>
      </c>
      <c r="DY29" s="75" t="s">
        <v>236</v>
      </c>
      <c r="DZ29" s="74" t="s">
        <v>271</v>
      </c>
      <c r="EA29" s="74" t="s">
        <v>271</v>
      </c>
      <c r="EB29" s="75" t="s">
        <v>236</v>
      </c>
      <c r="EC29" s="74" t="s">
        <v>271</v>
      </c>
      <c r="ED29" s="74" t="s">
        <v>271</v>
      </c>
      <c r="EE29" s="74"/>
      <c r="EF29" s="75" t="s">
        <v>236</v>
      </c>
      <c r="EG29" s="74" t="s">
        <v>271</v>
      </c>
      <c r="EH29" s="75" t="s">
        <v>236</v>
      </c>
      <c r="EI29" s="74" t="s">
        <v>271</v>
      </c>
      <c r="EJ29" s="75" t="s">
        <v>236</v>
      </c>
      <c r="EK29" s="75"/>
      <c r="EL29" s="74" t="s">
        <v>271</v>
      </c>
      <c r="EM29" s="74" t="s">
        <v>271</v>
      </c>
      <c r="EN29" s="75" t="s">
        <v>236</v>
      </c>
      <c r="EO29" s="74" t="s">
        <v>271</v>
      </c>
      <c r="EP29" s="74" t="s">
        <v>271</v>
      </c>
      <c r="EQ29" s="75"/>
      <c r="ER29" s="75" t="s">
        <v>236</v>
      </c>
      <c r="ES29" s="74" t="s">
        <v>271</v>
      </c>
      <c r="ET29" s="74" t="s">
        <v>271</v>
      </c>
      <c r="EU29" s="74" t="s">
        <v>271</v>
      </c>
      <c r="EV29" s="75" t="s">
        <v>236</v>
      </c>
      <c r="EW29" s="75" t="s">
        <v>236</v>
      </c>
      <c r="EX29" s="75" t="s">
        <v>236</v>
      </c>
      <c r="EY29" s="75"/>
      <c r="EZ29" s="75" t="s">
        <v>236</v>
      </c>
      <c r="FA29" s="74" t="s">
        <v>271</v>
      </c>
      <c r="FB29" s="74" t="s">
        <v>271</v>
      </c>
      <c r="FC29" s="75" t="s">
        <v>236</v>
      </c>
      <c r="FD29" s="75" t="s">
        <v>236</v>
      </c>
      <c r="FE29" s="75" t="s">
        <v>236</v>
      </c>
      <c r="FF29" s="75"/>
      <c r="FG29" s="81" t="s">
        <v>243</v>
      </c>
      <c r="FH29" s="80" t="s">
        <v>271</v>
      </c>
      <c r="FI29" s="81" t="s">
        <v>243</v>
      </c>
      <c r="FJ29" s="81" t="s">
        <v>243</v>
      </c>
      <c r="FK29" s="81" t="s">
        <v>243</v>
      </c>
      <c r="FL29" s="75"/>
      <c r="FM29" s="74" t="s">
        <v>271</v>
      </c>
      <c r="FN29" s="74" t="s">
        <v>271</v>
      </c>
      <c r="FO29" s="75" t="s">
        <v>236</v>
      </c>
      <c r="FP29" s="75" t="s">
        <v>236</v>
      </c>
      <c r="FQ29" s="74" t="s">
        <v>271</v>
      </c>
      <c r="FR29" s="74"/>
      <c r="FS29" s="75" t="s">
        <v>236</v>
      </c>
      <c r="FT29" s="74" t="s">
        <v>271</v>
      </c>
      <c r="FU29" s="75" t="s">
        <v>236</v>
      </c>
      <c r="FV29" s="74" t="s">
        <v>271</v>
      </c>
      <c r="FW29" s="75" t="s">
        <v>236</v>
      </c>
      <c r="FX29" s="75" t="s">
        <v>236</v>
      </c>
      <c r="FY29" s="75"/>
      <c r="FZ29" s="74" t="s">
        <v>271</v>
      </c>
      <c r="GA29" s="75" t="s">
        <v>360</v>
      </c>
      <c r="GB29" s="74" t="s">
        <v>271</v>
      </c>
      <c r="GC29" s="74" t="s">
        <v>271</v>
      </c>
      <c r="GD29" s="75" t="s">
        <v>236</v>
      </c>
      <c r="GE29" s="75" t="s">
        <v>236</v>
      </c>
      <c r="GF29" s="74" t="s">
        <v>271</v>
      </c>
      <c r="GG29" s="75"/>
      <c r="GH29" s="81" t="s">
        <v>243</v>
      </c>
      <c r="GI29" s="80" t="s">
        <v>271</v>
      </c>
      <c r="GJ29" s="81" t="s">
        <v>243</v>
      </c>
      <c r="GK29" s="81" t="s">
        <v>243</v>
      </c>
      <c r="GL29" s="81" t="s">
        <v>243</v>
      </c>
      <c r="GM29" s="81"/>
      <c r="GN29" s="81" t="s">
        <v>229</v>
      </c>
      <c r="GO29" s="74" t="s">
        <v>271</v>
      </c>
      <c r="GP29" s="74" t="s">
        <v>271</v>
      </c>
      <c r="GQ29" s="81" t="s">
        <v>229</v>
      </c>
      <c r="GR29" s="81"/>
      <c r="GS29" s="75" t="s">
        <v>236</v>
      </c>
      <c r="GT29" s="74" t="s">
        <v>271</v>
      </c>
      <c r="GU29" s="75" t="s">
        <v>236</v>
      </c>
      <c r="GV29" s="75" t="s">
        <v>236</v>
      </c>
      <c r="GW29" s="75" t="s">
        <v>236</v>
      </c>
      <c r="GX29" s="74" t="s">
        <v>271</v>
      </c>
      <c r="GY29" s="75" t="s">
        <v>236</v>
      </c>
      <c r="GZ29" s="75" t="s">
        <v>236</v>
      </c>
      <c r="HA29" s="75" t="s">
        <v>236</v>
      </c>
      <c r="HB29" s="75" t="s">
        <v>236</v>
      </c>
      <c r="HC29" s="74" t="s">
        <v>271</v>
      </c>
      <c r="HD29" s="75" t="s">
        <v>236</v>
      </c>
      <c r="HE29" s="75"/>
      <c r="HF29" s="75" t="s">
        <v>236</v>
      </c>
      <c r="HG29" s="74" t="s">
        <v>271</v>
      </c>
      <c r="HH29" s="74" t="s">
        <v>271</v>
      </c>
      <c r="HI29" s="75" t="s">
        <v>236</v>
      </c>
      <c r="HJ29" s="75" t="s">
        <v>236</v>
      </c>
      <c r="HK29" s="74" t="s">
        <v>271</v>
      </c>
      <c r="HL29" s="75" t="s">
        <v>236</v>
      </c>
      <c r="HM29" s="75"/>
      <c r="HN29" s="75" t="s">
        <v>236</v>
      </c>
      <c r="HO29" s="75" t="s">
        <v>236</v>
      </c>
      <c r="HP29" s="74" t="s">
        <v>271</v>
      </c>
      <c r="HQ29" s="74" t="s">
        <v>271</v>
      </c>
      <c r="HR29" s="75" t="s">
        <v>236</v>
      </c>
      <c r="HS29" s="75" t="s">
        <v>236</v>
      </c>
      <c r="HT29" s="75"/>
      <c r="HU29" s="75" t="s">
        <v>236</v>
      </c>
      <c r="HV29" s="74" t="s">
        <v>271</v>
      </c>
      <c r="HW29" s="75" t="s">
        <v>236</v>
      </c>
      <c r="HX29" s="75" t="s">
        <v>236</v>
      </c>
      <c r="HY29" s="75" t="s">
        <v>236</v>
      </c>
      <c r="HZ29" s="75" t="s">
        <v>236</v>
      </c>
      <c r="IA29" s="75"/>
      <c r="IB29" s="81" t="s">
        <v>243</v>
      </c>
      <c r="IC29" s="80" t="s">
        <v>271</v>
      </c>
      <c r="ID29" s="80" t="s">
        <v>271</v>
      </c>
      <c r="IE29" s="80" t="s">
        <v>271</v>
      </c>
      <c r="IF29" s="81" t="s">
        <v>243</v>
      </c>
      <c r="IG29" s="81" t="s">
        <v>243</v>
      </c>
      <c r="IH29" s="81"/>
      <c r="II29" s="74" t="s">
        <v>271</v>
      </c>
      <c r="IJ29" s="74" t="s">
        <v>271</v>
      </c>
      <c r="IK29" s="74" t="s">
        <v>271</v>
      </c>
      <c r="IL29" s="74" t="s">
        <v>271</v>
      </c>
      <c r="IM29" s="74" t="s">
        <v>271</v>
      </c>
      <c r="IN29" s="81"/>
      <c r="IO29" s="81" t="s">
        <v>229</v>
      </c>
      <c r="IP29" s="75" t="s">
        <v>236</v>
      </c>
      <c r="IQ29" s="81" t="s">
        <v>229</v>
      </c>
      <c r="IR29" s="81" t="s">
        <v>229</v>
      </c>
      <c r="IS29" s="75" t="s">
        <v>236</v>
      </c>
      <c r="IT29" s="74" t="s">
        <v>271</v>
      </c>
      <c r="IU29" s="81" t="s">
        <v>229</v>
      </c>
      <c r="IV29" s="81"/>
      <c r="IW29" s="75" t="s">
        <v>236</v>
      </c>
      <c r="IX29" s="75" t="s">
        <v>236</v>
      </c>
      <c r="IY29" s="74" t="s">
        <v>271</v>
      </c>
      <c r="IZ29" s="75" t="s">
        <v>236</v>
      </c>
      <c r="JA29" s="75" t="s">
        <v>236</v>
      </c>
      <c r="JB29" s="81"/>
      <c r="JC29" s="81" t="s">
        <v>243</v>
      </c>
      <c r="JD29" s="81" t="s">
        <v>236</v>
      </c>
      <c r="JE29" s="81" t="s">
        <v>243</v>
      </c>
      <c r="JF29" s="80" t="s">
        <v>271</v>
      </c>
      <c r="JG29" s="80" t="s">
        <v>271</v>
      </c>
      <c r="JH29" s="80" t="s">
        <v>271</v>
      </c>
      <c r="JI29" s="80" t="s">
        <v>271</v>
      </c>
      <c r="JJ29" s="81" t="s">
        <v>243</v>
      </c>
      <c r="JK29" s="81" t="s">
        <v>243</v>
      </c>
      <c r="JL29" s="81"/>
      <c r="JM29" s="75" t="s">
        <v>236</v>
      </c>
      <c r="JN29" s="74" t="s">
        <v>271</v>
      </c>
      <c r="JO29" s="75" t="s">
        <v>236</v>
      </c>
      <c r="JP29" s="81"/>
      <c r="JQ29" s="75" t="s">
        <v>236</v>
      </c>
      <c r="JR29" s="74" t="s">
        <v>271</v>
      </c>
      <c r="JS29" s="74" t="s">
        <v>271</v>
      </c>
      <c r="JT29" s="74" t="s">
        <v>271</v>
      </c>
      <c r="JU29" s="75" t="s">
        <v>236</v>
      </c>
      <c r="JV29" s="75" t="s">
        <v>236</v>
      </c>
    </row>
    <row r="30" spans="1:282" x14ac:dyDescent="0.15">
      <c r="A30" s="214" t="s">
        <v>62</v>
      </c>
      <c r="B30" s="6" t="s">
        <v>536</v>
      </c>
      <c r="C30" s="6">
        <v>150000</v>
      </c>
      <c r="D30" s="6">
        <v>1</v>
      </c>
      <c r="E30" s="6">
        <v>5</v>
      </c>
      <c r="F30" s="6">
        <v>5</v>
      </c>
      <c r="G30" s="6" t="s">
        <v>37</v>
      </c>
      <c r="H30" s="6" t="s">
        <v>53</v>
      </c>
      <c r="I30" s="6" t="s">
        <v>46</v>
      </c>
      <c r="J30" s="21" t="s">
        <v>700</v>
      </c>
      <c r="K30" s="21">
        <v>2</v>
      </c>
      <c r="L30" s="21">
        <v>2</v>
      </c>
      <c r="M30" s="21">
        <v>1</v>
      </c>
      <c r="N30" s="21">
        <v>0</v>
      </c>
      <c r="O30" s="21">
        <v>2</v>
      </c>
      <c r="P30" s="21" t="str">
        <f>IF(TeamT[[#This Row],[General]]+TeamT[[#This Row],[Agility]]+TeamT[[#This Row],[Strength]]+TeamT[[#This Row],[Passing]]+TeamT[[#This Row],[Mutation]]&gt;0,IF(TeamT[[#This Row],[General]]=1,"G","")&amp;IF(TeamT[[#This Row],[Agility]]=1,"A","")&amp;IF(TeamT[[#This Row],[Strength]]=1,"S","")&amp;IF(TeamT[[#This Row],[Passing]]=1,"P","")&amp;IF(TeamT[[#This Row],[Mutation]]=1,"M",""),"Star")</f>
        <v>S</v>
      </c>
      <c r="Q30" s="21" t="str">
        <f>IF(TeamT[[#This Row],[General]]=2,"G","")&amp;IF(TeamT[[#This Row],[Agility]]=2,"A","")&amp;IF(TeamT[[#This Row],[Strength]]=2,"S","")&amp;IF(TeamT[[#This Row],[Passing]]=2,"P","")&amp;IF(TeamT[[#This Row],[Mutation]]=2,"M","")</f>
        <v>GAM</v>
      </c>
      <c r="R30" s="212"/>
      <c r="S30" s="21">
        <v>4</v>
      </c>
      <c r="T30" s="21" t="s">
        <v>53</v>
      </c>
      <c r="U30" s="21">
        <v>9</v>
      </c>
      <c r="AA30" s="76" t="e">
        <f>HLOOKUP(Roster!$E$5,Team!$BL$2:$MK$128,29,FALSE)</f>
        <v>#N/A</v>
      </c>
      <c r="AB30" s="76" t="e">
        <f>HLOOKUP(Roster!$E$6,Team!$BL$2:$MK$128,29,FALSE)</f>
        <v>#N/A</v>
      </c>
      <c r="AC30" s="76" t="e">
        <f>HLOOKUP(Roster!$E$7,Team!$BL$2:$MK$128,29,FALSE)</f>
        <v>#N/A</v>
      </c>
      <c r="AD30" s="76" t="e">
        <f>HLOOKUP(Roster!$E$8,Team!$BL$2:$MK$128,29,FALSE)</f>
        <v>#N/A</v>
      </c>
      <c r="AE30" s="76" t="e">
        <f>HLOOKUP(Roster!$E$9,Team!$BL$2:$MK$128,29,FALSE)</f>
        <v>#N/A</v>
      </c>
      <c r="AF30" s="76" t="e">
        <f>HLOOKUP(Roster!$E$10,Team!$BL$2:$MK$128,29,FALSE)</f>
        <v>#N/A</v>
      </c>
      <c r="AG30" s="76" t="e">
        <f>HLOOKUP(Roster!$E$11,Team!$BL$2:$MK$128,29,FALSE)</f>
        <v>#N/A</v>
      </c>
      <c r="AH30" s="76" t="e">
        <f>HLOOKUP(Roster!$E$12,Team!$BL$2:$MK$128,29,FALSE)</f>
        <v>#N/A</v>
      </c>
      <c r="AI30" s="76" t="e">
        <f>HLOOKUP(Roster!$E$13,Team!$BL$2:$MK$128,29,FALSE)</f>
        <v>#N/A</v>
      </c>
      <c r="AJ30" s="76" t="e">
        <f>HLOOKUP(Roster!$E$14,Team!$BL$2:$MK$128,29,FALSE)</f>
        <v>#N/A</v>
      </c>
      <c r="AK30" s="76" t="e">
        <f>HLOOKUP(Roster!$E$15,Team!$BL$2:$MK$128,29,FALSE)</f>
        <v>#N/A</v>
      </c>
      <c r="AL30" s="76" t="e">
        <f>HLOOKUP(Roster!$E$16,Team!$BL$2:$MK$128,29,FALSE)</f>
        <v>#N/A</v>
      </c>
      <c r="AM30" s="76" t="e">
        <f>HLOOKUP(Roster!$E$17,Team!$BL$2:$MK$128,29,FALSE)</f>
        <v>#N/A</v>
      </c>
      <c r="AN30" s="76" t="e">
        <f>HLOOKUP(Roster!$E$18,Team!$BL$2:$MK$128,29,FALSE)</f>
        <v>#N/A</v>
      </c>
      <c r="AO30" s="76" t="e">
        <f>HLOOKUP(Roster!$E$19,Team!$BL$2:$MK$128,29,FALSE)</f>
        <v>#N/A</v>
      </c>
      <c r="AP30" s="76" t="e">
        <f>HLOOKUP(Roster!$E$20,Team!$BL$2:$MK$128,29,FALSE)</f>
        <v>#N/A</v>
      </c>
      <c r="AR30" s="108">
        <f t="shared" si="1"/>
        <v>0</v>
      </c>
      <c r="AS30" s="108">
        <f t="shared" si="2"/>
        <v>0</v>
      </c>
      <c r="AT30" s="108">
        <f t="shared" si="3"/>
        <v>0</v>
      </c>
      <c r="AU30" s="108">
        <f t="shared" si="4"/>
        <v>0</v>
      </c>
      <c r="AV30" s="108">
        <f t="shared" si="5"/>
        <v>0</v>
      </c>
      <c r="AW30" s="108">
        <f t="shared" si="6"/>
        <v>0</v>
      </c>
      <c r="AX30" s="108">
        <f t="shared" si="7"/>
        <v>0</v>
      </c>
      <c r="AY30" s="108">
        <f t="shared" si="8"/>
        <v>0</v>
      </c>
      <c r="AZ30" s="108">
        <f t="shared" si="9"/>
        <v>0</v>
      </c>
      <c r="BA30" s="108">
        <f t="shared" si="10"/>
        <v>0</v>
      </c>
      <c r="BB30" s="108">
        <f t="shared" si="11"/>
        <v>0</v>
      </c>
      <c r="BC30" s="108">
        <f t="shared" si="12"/>
        <v>0</v>
      </c>
      <c r="BD30" s="108">
        <f t="shared" si="13"/>
        <v>0</v>
      </c>
      <c r="BE30" s="108">
        <f t="shared" si="14"/>
        <v>0</v>
      </c>
      <c r="BF30" s="108">
        <f t="shared" si="15"/>
        <v>0</v>
      </c>
      <c r="BG30" s="108">
        <f t="shared" si="16"/>
        <v>0</v>
      </c>
      <c r="BL30" s="75" t="s">
        <v>237</v>
      </c>
      <c r="BM30" s="75" t="s">
        <v>6</v>
      </c>
      <c r="BN30" s="75" t="s">
        <v>237</v>
      </c>
      <c r="BO30" s="75" t="s">
        <v>237</v>
      </c>
      <c r="BP30" s="75" t="s">
        <v>237</v>
      </c>
      <c r="BQ30" s="75"/>
      <c r="BR30" s="75" t="s">
        <v>6</v>
      </c>
      <c r="BS30" s="75" t="s">
        <v>6</v>
      </c>
      <c r="BT30" s="75" t="s">
        <v>6</v>
      </c>
      <c r="BU30" s="75" t="s">
        <v>6</v>
      </c>
      <c r="BV30" s="75"/>
      <c r="BW30" s="81" t="s">
        <v>6</v>
      </c>
      <c r="BX30" s="81" t="s">
        <v>244</v>
      </c>
      <c r="BY30" s="81" t="s">
        <v>244</v>
      </c>
      <c r="BZ30" s="81" t="s">
        <v>244</v>
      </c>
      <c r="CA30" s="81" t="s">
        <v>244</v>
      </c>
      <c r="CB30" s="81" t="s">
        <v>6</v>
      </c>
      <c r="CC30" s="77"/>
      <c r="CD30" s="75" t="s">
        <v>237</v>
      </c>
      <c r="CE30" s="81" t="s">
        <v>244</v>
      </c>
      <c r="CF30" s="75" t="s">
        <v>237</v>
      </c>
      <c r="CG30" s="81" t="s">
        <v>244</v>
      </c>
      <c r="CH30" s="75" t="s">
        <v>237</v>
      </c>
      <c r="CI30" s="77"/>
      <c r="CJ30" s="81" t="s">
        <v>244</v>
      </c>
      <c r="CK30" s="81" t="s">
        <v>6</v>
      </c>
      <c r="CL30" s="81" t="s">
        <v>244</v>
      </c>
      <c r="CM30" s="81" t="s">
        <v>244</v>
      </c>
      <c r="CN30" s="81" t="s">
        <v>244</v>
      </c>
      <c r="CO30" s="81" t="s">
        <v>6</v>
      </c>
      <c r="CP30" s="81" t="s">
        <v>244</v>
      </c>
      <c r="CQ30" s="81" t="s">
        <v>244</v>
      </c>
      <c r="CR30" s="81" t="s">
        <v>244</v>
      </c>
      <c r="CS30" s="81" t="s">
        <v>244</v>
      </c>
      <c r="CT30" s="81" t="s">
        <v>244</v>
      </c>
      <c r="CU30" s="81"/>
      <c r="CV30" s="75" t="s">
        <v>6</v>
      </c>
      <c r="CW30" s="75" t="s">
        <v>6</v>
      </c>
      <c r="CX30" s="75" t="s">
        <v>6</v>
      </c>
      <c r="CY30" s="75" t="s">
        <v>6</v>
      </c>
      <c r="CZ30" s="75" t="s">
        <v>6</v>
      </c>
      <c r="DA30" s="81"/>
      <c r="DB30" s="75" t="s">
        <v>237</v>
      </c>
      <c r="DC30" s="75" t="s">
        <v>6</v>
      </c>
      <c r="DD30" s="75" t="s">
        <v>6</v>
      </c>
      <c r="DE30" s="75" t="s">
        <v>6</v>
      </c>
      <c r="DF30" s="75" t="s">
        <v>6</v>
      </c>
      <c r="DG30" s="75" t="s">
        <v>237</v>
      </c>
      <c r="DH30" s="75"/>
      <c r="DI30" s="75" t="s">
        <v>237</v>
      </c>
      <c r="DJ30" s="75" t="s">
        <v>6</v>
      </c>
      <c r="DK30" s="75" t="s">
        <v>6</v>
      </c>
      <c r="DL30" s="75" t="s">
        <v>237</v>
      </c>
      <c r="DM30" s="75" t="s">
        <v>237</v>
      </c>
      <c r="DN30" s="75" t="s">
        <v>237</v>
      </c>
      <c r="DO30" s="75"/>
      <c r="DP30" s="75" t="s">
        <v>237</v>
      </c>
      <c r="DQ30" s="75" t="s">
        <v>6</v>
      </c>
      <c r="DR30" s="75" t="s">
        <v>237</v>
      </c>
      <c r="DS30" s="75" t="s">
        <v>6</v>
      </c>
      <c r="DT30" s="75" t="s">
        <v>237</v>
      </c>
      <c r="DU30" s="75"/>
      <c r="DV30" s="75" t="s">
        <v>6</v>
      </c>
      <c r="DW30" s="75" t="s">
        <v>6</v>
      </c>
      <c r="DX30" s="75" t="s">
        <v>237</v>
      </c>
      <c r="DY30" s="75" t="s">
        <v>237</v>
      </c>
      <c r="DZ30" s="75" t="s">
        <v>6</v>
      </c>
      <c r="EA30" s="75" t="s">
        <v>6</v>
      </c>
      <c r="EB30" s="75" t="s">
        <v>237</v>
      </c>
      <c r="EC30" s="75" t="s">
        <v>6</v>
      </c>
      <c r="ED30" s="75" t="s">
        <v>6</v>
      </c>
      <c r="EE30" s="75"/>
      <c r="EF30" s="75" t="s">
        <v>237</v>
      </c>
      <c r="EG30" s="75" t="s">
        <v>6</v>
      </c>
      <c r="EH30" s="75" t="s">
        <v>237</v>
      </c>
      <c r="EI30" s="75" t="s">
        <v>6</v>
      </c>
      <c r="EJ30" s="75" t="s">
        <v>237</v>
      </c>
      <c r="EK30" s="75"/>
      <c r="EL30" s="75" t="s">
        <v>6</v>
      </c>
      <c r="EM30" s="75" t="s">
        <v>6</v>
      </c>
      <c r="EN30" s="75" t="s">
        <v>237</v>
      </c>
      <c r="EO30" s="75" t="s">
        <v>6</v>
      </c>
      <c r="EP30" s="75" t="s">
        <v>6</v>
      </c>
      <c r="EQ30" s="75"/>
      <c r="ER30" s="75" t="s">
        <v>237</v>
      </c>
      <c r="ES30" s="75" t="s">
        <v>6</v>
      </c>
      <c r="ET30" s="75" t="s">
        <v>6</v>
      </c>
      <c r="EU30" s="75" t="s">
        <v>6</v>
      </c>
      <c r="EV30" s="75" t="s">
        <v>237</v>
      </c>
      <c r="EW30" s="75" t="s">
        <v>237</v>
      </c>
      <c r="EX30" s="75" t="s">
        <v>237</v>
      </c>
      <c r="EY30" s="75"/>
      <c r="EZ30" s="75" t="s">
        <v>237</v>
      </c>
      <c r="FA30" s="75" t="s">
        <v>6</v>
      </c>
      <c r="FB30" s="75" t="s">
        <v>6</v>
      </c>
      <c r="FC30" s="75" t="s">
        <v>237</v>
      </c>
      <c r="FD30" s="75" t="s">
        <v>237</v>
      </c>
      <c r="FE30" s="75" t="s">
        <v>237</v>
      </c>
      <c r="FF30" s="75"/>
      <c r="FG30" s="81" t="s">
        <v>244</v>
      </c>
      <c r="FH30" s="81" t="s">
        <v>6</v>
      </c>
      <c r="FI30" s="81" t="s">
        <v>244</v>
      </c>
      <c r="FJ30" s="81" t="s">
        <v>244</v>
      </c>
      <c r="FK30" s="81" t="s">
        <v>244</v>
      </c>
      <c r="FL30" s="75"/>
      <c r="FM30" s="75" t="s">
        <v>6</v>
      </c>
      <c r="FN30" s="75" t="s">
        <v>6</v>
      </c>
      <c r="FO30" s="75" t="s">
        <v>237</v>
      </c>
      <c r="FP30" s="75" t="s">
        <v>237</v>
      </c>
      <c r="FQ30" s="75" t="s">
        <v>6</v>
      </c>
      <c r="FR30" s="75"/>
      <c r="FS30" s="75" t="s">
        <v>237</v>
      </c>
      <c r="FT30" s="75" t="s">
        <v>6</v>
      </c>
      <c r="FU30" s="75" t="s">
        <v>237</v>
      </c>
      <c r="FV30" s="75" t="s">
        <v>6</v>
      </c>
      <c r="FW30" s="75" t="s">
        <v>237</v>
      </c>
      <c r="FX30" s="75" t="s">
        <v>237</v>
      </c>
      <c r="FY30" s="75"/>
      <c r="FZ30" s="75" t="s">
        <v>6</v>
      </c>
      <c r="GA30" s="74" t="s">
        <v>361</v>
      </c>
      <c r="GB30" s="75" t="s">
        <v>6</v>
      </c>
      <c r="GC30" s="75" t="s">
        <v>6</v>
      </c>
      <c r="GD30" s="75" t="s">
        <v>237</v>
      </c>
      <c r="GE30" s="75" t="s">
        <v>237</v>
      </c>
      <c r="GF30" s="75" t="s">
        <v>6</v>
      </c>
      <c r="GG30" s="75"/>
      <c r="GH30" s="81" t="s">
        <v>244</v>
      </c>
      <c r="GI30" s="81" t="s">
        <v>6</v>
      </c>
      <c r="GJ30" s="81" t="s">
        <v>244</v>
      </c>
      <c r="GK30" s="81" t="s">
        <v>244</v>
      </c>
      <c r="GL30" s="81" t="s">
        <v>244</v>
      </c>
      <c r="GM30" s="81"/>
      <c r="GN30" s="80" t="s">
        <v>261</v>
      </c>
      <c r="GO30" s="75" t="s">
        <v>6</v>
      </c>
      <c r="GP30" s="75" t="s">
        <v>6</v>
      </c>
      <c r="GQ30" s="80" t="s">
        <v>261</v>
      </c>
      <c r="GR30" s="80"/>
      <c r="GS30" s="75" t="s">
        <v>237</v>
      </c>
      <c r="GT30" s="75" t="s">
        <v>6</v>
      </c>
      <c r="GU30" s="75" t="s">
        <v>237</v>
      </c>
      <c r="GV30" s="75" t="s">
        <v>237</v>
      </c>
      <c r="GW30" s="75" t="s">
        <v>237</v>
      </c>
      <c r="GX30" s="75" t="s">
        <v>6</v>
      </c>
      <c r="GY30" s="75" t="s">
        <v>237</v>
      </c>
      <c r="GZ30" s="75" t="s">
        <v>237</v>
      </c>
      <c r="HA30" s="75" t="s">
        <v>237</v>
      </c>
      <c r="HB30" s="75" t="s">
        <v>237</v>
      </c>
      <c r="HC30" s="75" t="s">
        <v>6</v>
      </c>
      <c r="HD30" s="75" t="s">
        <v>237</v>
      </c>
      <c r="HE30" s="75"/>
      <c r="HF30" s="75" t="s">
        <v>237</v>
      </c>
      <c r="HG30" s="75" t="s">
        <v>6</v>
      </c>
      <c r="HH30" s="75" t="s">
        <v>6</v>
      </c>
      <c r="HI30" s="75" t="s">
        <v>237</v>
      </c>
      <c r="HJ30" s="75" t="s">
        <v>237</v>
      </c>
      <c r="HK30" s="75" t="s">
        <v>6</v>
      </c>
      <c r="HL30" s="75" t="s">
        <v>237</v>
      </c>
      <c r="HM30" s="75"/>
      <c r="HN30" s="75" t="s">
        <v>237</v>
      </c>
      <c r="HO30" s="75" t="s">
        <v>237</v>
      </c>
      <c r="HP30" s="75" t="s">
        <v>6</v>
      </c>
      <c r="HQ30" s="75" t="s">
        <v>6</v>
      </c>
      <c r="HR30" s="75" t="s">
        <v>237</v>
      </c>
      <c r="HS30" s="75" t="s">
        <v>237</v>
      </c>
      <c r="HT30" s="75"/>
      <c r="HU30" s="75" t="s">
        <v>237</v>
      </c>
      <c r="HV30" s="75" t="s">
        <v>6</v>
      </c>
      <c r="HW30" s="75" t="s">
        <v>237</v>
      </c>
      <c r="HX30" s="75" t="s">
        <v>237</v>
      </c>
      <c r="HY30" s="75" t="s">
        <v>237</v>
      </c>
      <c r="HZ30" s="75" t="s">
        <v>237</v>
      </c>
      <c r="IA30" s="75"/>
      <c r="IB30" s="81" t="s">
        <v>244</v>
      </c>
      <c r="IC30" s="81" t="s">
        <v>6</v>
      </c>
      <c r="ID30" s="81" t="s">
        <v>6</v>
      </c>
      <c r="IE30" s="81" t="s">
        <v>6</v>
      </c>
      <c r="IF30" s="81" t="s">
        <v>244</v>
      </c>
      <c r="IG30" s="81" t="s">
        <v>244</v>
      </c>
      <c r="IH30" s="81"/>
      <c r="II30" s="75" t="s">
        <v>6</v>
      </c>
      <c r="IJ30" s="75" t="s">
        <v>6</v>
      </c>
      <c r="IK30" s="75" t="s">
        <v>6</v>
      </c>
      <c r="IL30" s="75" t="s">
        <v>6</v>
      </c>
      <c r="IM30" s="75" t="s">
        <v>6</v>
      </c>
      <c r="IN30" s="81"/>
      <c r="IO30" s="80" t="s">
        <v>261</v>
      </c>
      <c r="IP30" s="75" t="s">
        <v>237</v>
      </c>
      <c r="IQ30" s="80" t="s">
        <v>261</v>
      </c>
      <c r="IR30" s="80" t="s">
        <v>261</v>
      </c>
      <c r="IS30" s="75" t="s">
        <v>237</v>
      </c>
      <c r="IT30" s="75" t="s">
        <v>6</v>
      </c>
      <c r="IU30" s="80" t="s">
        <v>261</v>
      </c>
      <c r="IV30" s="80"/>
      <c r="IW30" s="75" t="s">
        <v>237</v>
      </c>
      <c r="IX30" s="75" t="s">
        <v>237</v>
      </c>
      <c r="IY30" s="75" t="s">
        <v>6</v>
      </c>
      <c r="IZ30" s="75" t="s">
        <v>237</v>
      </c>
      <c r="JA30" s="75" t="s">
        <v>237</v>
      </c>
      <c r="JB30" s="80"/>
      <c r="JC30" s="81" t="s">
        <v>244</v>
      </c>
      <c r="JD30" s="81" t="s">
        <v>237</v>
      </c>
      <c r="JE30" s="81" t="s">
        <v>244</v>
      </c>
      <c r="JF30" s="81" t="s">
        <v>6</v>
      </c>
      <c r="JG30" s="81" t="s">
        <v>6</v>
      </c>
      <c r="JH30" s="81" t="s">
        <v>6</v>
      </c>
      <c r="JI30" s="81" t="s">
        <v>6</v>
      </c>
      <c r="JJ30" s="81" t="s">
        <v>244</v>
      </c>
      <c r="JK30" s="81" t="s">
        <v>244</v>
      </c>
      <c r="JL30" s="81"/>
      <c r="JM30" s="75" t="s">
        <v>237</v>
      </c>
      <c r="JN30" s="75" t="s">
        <v>6</v>
      </c>
      <c r="JO30" s="75" t="s">
        <v>237</v>
      </c>
      <c r="JP30" s="81"/>
      <c r="JQ30" s="75" t="s">
        <v>237</v>
      </c>
      <c r="JR30" s="75" t="s">
        <v>6</v>
      </c>
      <c r="JS30" s="75" t="s">
        <v>6</v>
      </c>
      <c r="JT30" s="75" t="s">
        <v>6</v>
      </c>
      <c r="JU30" s="75" t="s">
        <v>237</v>
      </c>
      <c r="JV30" s="75" t="s">
        <v>237</v>
      </c>
    </row>
    <row r="31" spans="1:282" x14ac:dyDescent="0.15">
      <c r="A31" s="214" t="s">
        <v>63</v>
      </c>
      <c r="B31" s="6" t="s">
        <v>536</v>
      </c>
      <c r="C31" s="6">
        <v>150000</v>
      </c>
      <c r="D31" s="6">
        <v>1</v>
      </c>
      <c r="E31" s="6">
        <v>6</v>
      </c>
      <c r="F31" s="6">
        <v>5</v>
      </c>
      <c r="G31" s="6" t="s">
        <v>37</v>
      </c>
      <c r="H31" s="6" t="s">
        <v>53</v>
      </c>
      <c r="I31" s="6" t="s">
        <v>46</v>
      </c>
      <c r="J31" s="21" t="s">
        <v>64</v>
      </c>
      <c r="K31" s="21">
        <v>2</v>
      </c>
      <c r="L31" s="21">
        <v>2</v>
      </c>
      <c r="M31" s="21">
        <v>1</v>
      </c>
      <c r="N31" s="21">
        <v>0</v>
      </c>
      <c r="O31" s="21">
        <v>2</v>
      </c>
      <c r="P31" s="21" t="str">
        <f>IF(TeamT[[#This Row],[General]]+TeamT[[#This Row],[Agility]]+TeamT[[#This Row],[Strength]]+TeamT[[#This Row],[Passing]]+TeamT[[#This Row],[Mutation]]&gt;0,IF(TeamT[[#This Row],[General]]=1,"G","")&amp;IF(TeamT[[#This Row],[Agility]]=1,"A","")&amp;IF(TeamT[[#This Row],[Strength]]=1,"S","")&amp;IF(TeamT[[#This Row],[Passing]]=1,"P","")&amp;IF(TeamT[[#This Row],[Mutation]]=1,"M",""),"Star")</f>
        <v>S</v>
      </c>
      <c r="Q31" s="21" t="str">
        <f>IF(TeamT[[#This Row],[General]]=2,"G","")&amp;IF(TeamT[[#This Row],[Agility]]=2,"A","")&amp;IF(TeamT[[#This Row],[Strength]]=2,"S","")&amp;IF(TeamT[[#This Row],[Passing]]=2,"P","")&amp;IF(TeamT[[#This Row],[Mutation]]=2,"M","")</f>
        <v>GAM</v>
      </c>
      <c r="R31" s="212"/>
      <c r="S31" s="21">
        <v>4</v>
      </c>
      <c r="T31" s="21" t="s">
        <v>53</v>
      </c>
      <c r="U31" s="21">
        <v>9</v>
      </c>
      <c r="AA31" s="76" t="e">
        <f>HLOOKUP(Roster!$E$5,Team!$BL$2:$MK$128,30,FALSE)</f>
        <v>#N/A</v>
      </c>
      <c r="AB31" s="76" t="e">
        <f>HLOOKUP(Roster!$E$6,Team!$BL$2:$MK$128,30,FALSE)</f>
        <v>#N/A</v>
      </c>
      <c r="AC31" s="76" t="e">
        <f>HLOOKUP(Roster!$E$7,Team!$BL$2:$MK$128,30,FALSE)</f>
        <v>#N/A</v>
      </c>
      <c r="AD31" s="76" t="e">
        <f>HLOOKUP(Roster!$E$8,Team!$BL$2:$MK$128,30,FALSE)</f>
        <v>#N/A</v>
      </c>
      <c r="AE31" s="76" t="e">
        <f>HLOOKUP(Roster!$E$9,Team!$BL$2:$MK$128,30,FALSE)</f>
        <v>#N/A</v>
      </c>
      <c r="AF31" s="76" t="e">
        <f>HLOOKUP(Roster!$E$10,Team!$BL$2:$MK$128,30,FALSE)</f>
        <v>#N/A</v>
      </c>
      <c r="AG31" s="76" t="e">
        <f>HLOOKUP(Roster!$E$11,Team!$BL$2:$MK$128,30,FALSE)</f>
        <v>#N/A</v>
      </c>
      <c r="AH31" s="76" t="e">
        <f>HLOOKUP(Roster!$E$12,Team!$BL$2:$MK$128,30,FALSE)</f>
        <v>#N/A</v>
      </c>
      <c r="AI31" s="76" t="e">
        <f>HLOOKUP(Roster!$E$13,Team!$BL$2:$MK$128,30,FALSE)</f>
        <v>#N/A</v>
      </c>
      <c r="AJ31" s="76" t="e">
        <f>HLOOKUP(Roster!$E$14,Team!$BL$2:$MK$128,30,FALSE)</f>
        <v>#N/A</v>
      </c>
      <c r="AK31" s="76" t="e">
        <f>HLOOKUP(Roster!$E$15,Team!$BL$2:$MK$128,30,FALSE)</f>
        <v>#N/A</v>
      </c>
      <c r="AL31" s="76" t="e">
        <f>HLOOKUP(Roster!$E$16,Team!$BL$2:$MK$128,30,FALSE)</f>
        <v>#N/A</v>
      </c>
      <c r="AM31" s="76" t="e">
        <f>HLOOKUP(Roster!$E$17,Team!$BL$2:$MK$128,30,FALSE)</f>
        <v>#N/A</v>
      </c>
      <c r="AN31" s="76" t="e">
        <f>HLOOKUP(Roster!$E$18,Team!$BL$2:$MK$128,30,FALSE)</f>
        <v>#N/A</v>
      </c>
      <c r="AO31" s="76" t="e">
        <f>HLOOKUP(Roster!$E$19,Team!$BL$2:$MK$128,30,FALSE)</f>
        <v>#N/A</v>
      </c>
      <c r="AP31" s="76" t="e">
        <f>HLOOKUP(Roster!$E$20,Team!$BL$2:$MK$128,30,FALSE)</f>
        <v>#N/A</v>
      </c>
      <c r="AR31" s="108">
        <f t="shared" si="1"/>
        <v>0</v>
      </c>
      <c r="AS31" s="108">
        <f t="shared" si="2"/>
        <v>0</v>
      </c>
      <c r="AT31" s="108">
        <f t="shared" si="3"/>
        <v>0</v>
      </c>
      <c r="AU31" s="108">
        <f t="shared" si="4"/>
        <v>0</v>
      </c>
      <c r="AV31" s="108">
        <f t="shared" si="5"/>
        <v>0</v>
      </c>
      <c r="AW31" s="108">
        <f t="shared" si="6"/>
        <v>0</v>
      </c>
      <c r="AX31" s="108">
        <f t="shared" si="7"/>
        <v>0</v>
      </c>
      <c r="AY31" s="108">
        <f t="shared" si="8"/>
        <v>0</v>
      </c>
      <c r="AZ31" s="108">
        <f t="shared" si="9"/>
        <v>0</v>
      </c>
      <c r="BA31" s="108">
        <f t="shared" si="10"/>
        <v>0</v>
      </c>
      <c r="BB31" s="108">
        <f t="shared" si="11"/>
        <v>0</v>
      </c>
      <c r="BC31" s="108">
        <f t="shared" si="12"/>
        <v>0</v>
      </c>
      <c r="BD31" s="108">
        <f t="shared" si="13"/>
        <v>0</v>
      </c>
      <c r="BE31" s="108">
        <f t="shared" si="14"/>
        <v>0</v>
      </c>
      <c r="BF31" s="108">
        <f t="shared" si="15"/>
        <v>0</v>
      </c>
      <c r="BG31" s="108">
        <f t="shared" si="16"/>
        <v>0</v>
      </c>
      <c r="BL31" s="75" t="s">
        <v>238</v>
      </c>
      <c r="BM31" s="74" t="s">
        <v>272</v>
      </c>
      <c r="BN31" s="75" t="s">
        <v>238</v>
      </c>
      <c r="BO31" s="75" t="s">
        <v>238</v>
      </c>
      <c r="BP31" s="75" t="s">
        <v>238</v>
      </c>
      <c r="BQ31" s="74"/>
      <c r="BR31" s="74" t="s">
        <v>272</v>
      </c>
      <c r="BS31" s="74" t="s">
        <v>272</v>
      </c>
      <c r="BT31" s="74" t="s">
        <v>272</v>
      </c>
      <c r="BU31" s="74" t="s">
        <v>272</v>
      </c>
      <c r="BV31" s="74"/>
      <c r="BW31" s="80" t="s">
        <v>272</v>
      </c>
      <c r="BX31" s="81" t="s">
        <v>245</v>
      </c>
      <c r="BY31" s="81" t="s">
        <v>245</v>
      </c>
      <c r="BZ31" s="81" t="s">
        <v>245</v>
      </c>
      <c r="CA31" s="81" t="s">
        <v>245</v>
      </c>
      <c r="CB31" s="80" t="s">
        <v>272</v>
      </c>
      <c r="CC31" s="77"/>
      <c r="CD31" s="75" t="s">
        <v>238</v>
      </c>
      <c r="CE31" s="81" t="s">
        <v>245</v>
      </c>
      <c r="CF31" s="75" t="s">
        <v>238</v>
      </c>
      <c r="CG31" s="81" t="s">
        <v>245</v>
      </c>
      <c r="CH31" s="75" t="s">
        <v>238</v>
      </c>
      <c r="CI31" s="77"/>
      <c r="CJ31" s="81" t="s">
        <v>245</v>
      </c>
      <c r="CK31" s="80" t="s">
        <v>272</v>
      </c>
      <c r="CL31" s="81" t="s">
        <v>245</v>
      </c>
      <c r="CM31" s="81" t="s">
        <v>245</v>
      </c>
      <c r="CN31" s="81" t="s">
        <v>245</v>
      </c>
      <c r="CO31" s="80" t="s">
        <v>272</v>
      </c>
      <c r="CP31" s="81" t="s">
        <v>245</v>
      </c>
      <c r="CQ31" s="81" t="s">
        <v>245</v>
      </c>
      <c r="CR31" s="81" t="s">
        <v>245</v>
      </c>
      <c r="CS31" s="81" t="s">
        <v>245</v>
      </c>
      <c r="CT31" s="81" t="s">
        <v>245</v>
      </c>
      <c r="CU31" s="81"/>
      <c r="CV31" s="74" t="s">
        <v>272</v>
      </c>
      <c r="CW31" s="74" t="s">
        <v>272</v>
      </c>
      <c r="CX31" s="74" t="s">
        <v>272</v>
      </c>
      <c r="CY31" s="74" t="s">
        <v>272</v>
      </c>
      <c r="CZ31" s="74" t="s">
        <v>272</v>
      </c>
      <c r="DA31" s="81"/>
      <c r="DB31" s="75" t="s">
        <v>238</v>
      </c>
      <c r="DC31" s="74" t="s">
        <v>272</v>
      </c>
      <c r="DD31" s="74" t="s">
        <v>272</v>
      </c>
      <c r="DE31" s="74" t="s">
        <v>272</v>
      </c>
      <c r="DF31" s="74" t="s">
        <v>272</v>
      </c>
      <c r="DG31" s="75" t="s">
        <v>238</v>
      </c>
      <c r="DH31" s="75"/>
      <c r="DI31" s="75" t="s">
        <v>238</v>
      </c>
      <c r="DJ31" s="74" t="s">
        <v>272</v>
      </c>
      <c r="DK31" s="74" t="s">
        <v>272</v>
      </c>
      <c r="DL31" s="75" t="s">
        <v>238</v>
      </c>
      <c r="DM31" s="75" t="s">
        <v>238</v>
      </c>
      <c r="DN31" s="75" t="s">
        <v>238</v>
      </c>
      <c r="DO31" s="75"/>
      <c r="DP31" s="75" t="s">
        <v>238</v>
      </c>
      <c r="DQ31" s="74" t="s">
        <v>272</v>
      </c>
      <c r="DR31" s="75" t="s">
        <v>238</v>
      </c>
      <c r="DS31" s="74" t="s">
        <v>272</v>
      </c>
      <c r="DT31" s="75" t="s">
        <v>238</v>
      </c>
      <c r="DU31" s="75"/>
      <c r="DV31" s="74" t="s">
        <v>272</v>
      </c>
      <c r="DW31" s="74" t="s">
        <v>272</v>
      </c>
      <c r="DX31" s="75" t="s">
        <v>238</v>
      </c>
      <c r="DY31" s="75" t="s">
        <v>238</v>
      </c>
      <c r="DZ31" s="74" t="s">
        <v>272</v>
      </c>
      <c r="EA31" s="74" t="s">
        <v>272</v>
      </c>
      <c r="EB31" s="75" t="s">
        <v>238</v>
      </c>
      <c r="EC31" s="74" t="s">
        <v>272</v>
      </c>
      <c r="ED31" s="74" t="s">
        <v>272</v>
      </c>
      <c r="EE31" s="74"/>
      <c r="EF31" s="75" t="s">
        <v>238</v>
      </c>
      <c r="EG31" s="74" t="s">
        <v>272</v>
      </c>
      <c r="EH31" s="75" t="s">
        <v>238</v>
      </c>
      <c r="EI31" s="74" t="s">
        <v>272</v>
      </c>
      <c r="EJ31" s="75" t="s">
        <v>238</v>
      </c>
      <c r="EK31" s="75"/>
      <c r="EL31" s="74" t="s">
        <v>272</v>
      </c>
      <c r="EM31" s="74" t="s">
        <v>272</v>
      </c>
      <c r="EN31" s="75" t="s">
        <v>238</v>
      </c>
      <c r="EO31" s="74" t="s">
        <v>272</v>
      </c>
      <c r="EP31" s="74" t="s">
        <v>272</v>
      </c>
      <c r="EQ31" s="75"/>
      <c r="ER31" s="75" t="s">
        <v>238</v>
      </c>
      <c r="ES31" s="74" t="s">
        <v>272</v>
      </c>
      <c r="ET31" s="74" t="s">
        <v>272</v>
      </c>
      <c r="EU31" s="74" t="s">
        <v>272</v>
      </c>
      <c r="EV31" s="75" t="s">
        <v>238</v>
      </c>
      <c r="EW31" s="75" t="s">
        <v>238</v>
      </c>
      <c r="EX31" s="75" t="s">
        <v>238</v>
      </c>
      <c r="EY31" s="75"/>
      <c r="EZ31" s="75" t="s">
        <v>238</v>
      </c>
      <c r="FA31" s="74" t="s">
        <v>272</v>
      </c>
      <c r="FB31" s="74" t="s">
        <v>272</v>
      </c>
      <c r="FC31" s="75" t="s">
        <v>238</v>
      </c>
      <c r="FD31" s="75" t="s">
        <v>238</v>
      </c>
      <c r="FE31" s="75" t="s">
        <v>238</v>
      </c>
      <c r="FF31" s="75"/>
      <c r="FG31" s="81" t="s">
        <v>245</v>
      </c>
      <c r="FH31" s="80" t="s">
        <v>272</v>
      </c>
      <c r="FI31" s="81" t="s">
        <v>245</v>
      </c>
      <c r="FJ31" s="81" t="s">
        <v>245</v>
      </c>
      <c r="FK31" s="81" t="s">
        <v>245</v>
      </c>
      <c r="FL31" s="75"/>
      <c r="FM31" s="74" t="s">
        <v>272</v>
      </c>
      <c r="FN31" s="74" t="s">
        <v>272</v>
      </c>
      <c r="FO31" s="75" t="s">
        <v>238</v>
      </c>
      <c r="FP31" s="75" t="s">
        <v>238</v>
      </c>
      <c r="FQ31" s="74" t="s">
        <v>272</v>
      </c>
      <c r="FR31" s="74"/>
      <c r="FS31" s="75" t="s">
        <v>238</v>
      </c>
      <c r="FT31" s="74" t="s">
        <v>272</v>
      </c>
      <c r="FU31" s="75" t="s">
        <v>238</v>
      </c>
      <c r="FV31" s="74" t="s">
        <v>272</v>
      </c>
      <c r="FW31" s="75" t="s">
        <v>238</v>
      </c>
      <c r="FX31" s="75" t="s">
        <v>238</v>
      </c>
      <c r="FY31" s="75"/>
      <c r="FZ31" s="74" t="s">
        <v>272</v>
      </c>
      <c r="GA31" s="75" t="s">
        <v>362</v>
      </c>
      <c r="GB31" s="74" t="s">
        <v>272</v>
      </c>
      <c r="GC31" s="74" t="s">
        <v>272</v>
      </c>
      <c r="GD31" s="75" t="s">
        <v>238</v>
      </c>
      <c r="GE31" s="75" t="s">
        <v>238</v>
      </c>
      <c r="GF31" s="74" t="s">
        <v>272</v>
      </c>
      <c r="GG31" s="75"/>
      <c r="GH31" s="81" t="s">
        <v>245</v>
      </c>
      <c r="GI31" s="80" t="s">
        <v>272</v>
      </c>
      <c r="GJ31" s="81" t="s">
        <v>245</v>
      </c>
      <c r="GK31" s="81" t="s">
        <v>245</v>
      </c>
      <c r="GL31" s="81" t="s">
        <v>245</v>
      </c>
      <c r="GM31" s="81"/>
      <c r="GN31" s="81" t="s">
        <v>230</v>
      </c>
      <c r="GO31" s="74" t="s">
        <v>272</v>
      </c>
      <c r="GP31" s="74" t="s">
        <v>272</v>
      </c>
      <c r="GQ31" s="81" t="s">
        <v>230</v>
      </c>
      <c r="GR31" s="81"/>
      <c r="GS31" s="75" t="s">
        <v>238</v>
      </c>
      <c r="GT31" s="74" t="s">
        <v>272</v>
      </c>
      <c r="GU31" s="75" t="s">
        <v>238</v>
      </c>
      <c r="GV31" s="75" t="s">
        <v>238</v>
      </c>
      <c r="GW31" s="75" t="s">
        <v>238</v>
      </c>
      <c r="GX31" s="74" t="s">
        <v>272</v>
      </c>
      <c r="GY31" s="75" t="s">
        <v>238</v>
      </c>
      <c r="GZ31" s="75" t="s">
        <v>238</v>
      </c>
      <c r="HA31" s="75" t="s">
        <v>238</v>
      </c>
      <c r="HB31" s="75" t="s">
        <v>238</v>
      </c>
      <c r="HC31" s="74" t="s">
        <v>272</v>
      </c>
      <c r="HD31" s="75" t="s">
        <v>238</v>
      </c>
      <c r="HE31" s="75"/>
      <c r="HF31" s="75" t="s">
        <v>238</v>
      </c>
      <c r="HG31" s="74" t="s">
        <v>272</v>
      </c>
      <c r="HH31" s="74" t="s">
        <v>272</v>
      </c>
      <c r="HI31" s="75" t="s">
        <v>238</v>
      </c>
      <c r="HJ31" s="75" t="s">
        <v>238</v>
      </c>
      <c r="HK31" s="74" t="s">
        <v>272</v>
      </c>
      <c r="HL31" s="75" t="s">
        <v>238</v>
      </c>
      <c r="HM31" s="75"/>
      <c r="HN31" s="75" t="s">
        <v>238</v>
      </c>
      <c r="HO31" s="75" t="s">
        <v>238</v>
      </c>
      <c r="HP31" s="74" t="s">
        <v>272</v>
      </c>
      <c r="HQ31" s="74" t="s">
        <v>272</v>
      </c>
      <c r="HR31" s="75" t="s">
        <v>238</v>
      </c>
      <c r="HS31" s="75" t="s">
        <v>238</v>
      </c>
      <c r="HT31" s="75"/>
      <c r="HU31" s="75" t="s">
        <v>238</v>
      </c>
      <c r="HV31" s="74" t="s">
        <v>272</v>
      </c>
      <c r="HW31" s="75" t="s">
        <v>238</v>
      </c>
      <c r="HX31" s="75" t="s">
        <v>238</v>
      </c>
      <c r="HY31" s="75" t="s">
        <v>238</v>
      </c>
      <c r="HZ31" s="75" t="s">
        <v>238</v>
      </c>
      <c r="IA31" s="75"/>
      <c r="IB31" s="81" t="s">
        <v>245</v>
      </c>
      <c r="IC31" s="80" t="s">
        <v>272</v>
      </c>
      <c r="ID31" s="80" t="s">
        <v>272</v>
      </c>
      <c r="IE31" s="80" t="s">
        <v>272</v>
      </c>
      <c r="IF31" s="81" t="s">
        <v>245</v>
      </c>
      <c r="IG31" s="81" t="s">
        <v>245</v>
      </c>
      <c r="IH31" s="81"/>
      <c r="II31" s="74" t="s">
        <v>272</v>
      </c>
      <c r="IJ31" s="74" t="s">
        <v>272</v>
      </c>
      <c r="IK31" s="74" t="s">
        <v>272</v>
      </c>
      <c r="IL31" s="74" t="s">
        <v>272</v>
      </c>
      <c r="IM31" s="74" t="s">
        <v>272</v>
      </c>
      <c r="IN31" s="81"/>
      <c r="IO31" s="81" t="s">
        <v>230</v>
      </c>
      <c r="IP31" s="75" t="s">
        <v>238</v>
      </c>
      <c r="IQ31" s="81" t="s">
        <v>230</v>
      </c>
      <c r="IR31" s="81" t="s">
        <v>230</v>
      </c>
      <c r="IS31" s="75" t="s">
        <v>238</v>
      </c>
      <c r="IT31" s="74" t="s">
        <v>272</v>
      </c>
      <c r="IU31" s="81" t="s">
        <v>230</v>
      </c>
      <c r="IV31" s="81"/>
      <c r="IW31" s="75" t="s">
        <v>238</v>
      </c>
      <c r="IX31" s="75" t="s">
        <v>238</v>
      </c>
      <c r="IY31" s="74" t="s">
        <v>272</v>
      </c>
      <c r="IZ31" s="75" t="s">
        <v>238</v>
      </c>
      <c r="JA31" s="75" t="s">
        <v>238</v>
      </c>
      <c r="JB31" s="81"/>
      <c r="JC31" s="81" t="s">
        <v>245</v>
      </c>
      <c r="JD31" s="81" t="s">
        <v>238</v>
      </c>
      <c r="JE31" s="81" t="s">
        <v>245</v>
      </c>
      <c r="JF31" s="80" t="s">
        <v>272</v>
      </c>
      <c r="JG31" s="80" t="s">
        <v>272</v>
      </c>
      <c r="JH31" s="80" t="s">
        <v>272</v>
      </c>
      <c r="JI31" s="80" t="s">
        <v>272</v>
      </c>
      <c r="JJ31" s="81" t="s">
        <v>245</v>
      </c>
      <c r="JK31" s="81" t="s">
        <v>245</v>
      </c>
      <c r="JL31" s="81"/>
      <c r="JM31" s="75" t="s">
        <v>238</v>
      </c>
      <c r="JN31" s="74" t="s">
        <v>272</v>
      </c>
      <c r="JO31" s="75" t="s">
        <v>238</v>
      </c>
      <c r="JP31" s="81"/>
      <c r="JQ31" s="75" t="s">
        <v>238</v>
      </c>
      <c r="JR31" s="74" t="s">
        <v>272</v>
      </c>
      <c r="JS31" s="74" t="s">
        <v>272</v>
      </c>
      <c r="JT31" s="74" t="s">
        <v>272</v>
      </c>
      <c r="JU31" s="75" t="s">
        <v>238</v>
      </c>
      <c r="JV31" s="75" t="s">
        <v>238</v>
      </c>
    </row>
    <row r="32" spans="1:282" x14ac:dyDescent="0.15">
      <c r="A32" s="214" t="s">
        <v>540</v>
      </c>
      <c r="B32" s="6" t="s">
        <v>536</v>
      </c>
      <c r="C32" s="6">
        <v>50000</v>
      </c>
      <c r="D32" s="6">
        <v>11</v>
      </c>
      <c r="E32" s="6">
        <v>6</v>
      </c>
      <c r="F32" s="6">
        <v>3</v>
      </c>
      <c r="G32" s="6" t="s">
        <v>36</v>
      </c>
      <c r="H32" s="6" t="s">
        <v>37</v>
      </c>
      <c r="I32" s="6" t="s">
        <v>46</v>
      </c>
      <c r="J32" s="21" t="s">
        <v>65</v>
      </c>
      <c r="K32" s="21">
        <v>1</v>
      </c>
      <c r="L32" s="21">
        <v>2</v>
      </c>
      <c r="M32" s="21">
        <v>2</v>
      </c>
      <c r="N32" s="21">
        <v>0</v>
      </c>
      <c r="O32" s="21">
        <v>1</v>
      </c>
      <c r="P32" s="21" t="str">
        <f>IF(TeamT[[#This Row],[General]]+TeamT[[#This Row],[Agility]]+TeamT[[#This Row],[Strength]]+TeamT[[#This Row],[Passing]]+TeamT[[#This Row],[Mutation]]&gt;0,IF(TeamT[[#This Row],[General]]=1,"G","")&amp;IF(TeamT[[#This Row],[Agility]]=1,"A","")&amp;IF(TeamT[[#This Row],[Strength]]=1,"S","")&amp;IF(TeamT[[#This Row],[Passing]]=1,"P","")&amp;IF(TeamT[[#This Row],[Mutation]]=1,"M",""),"Star")</f>
        <v>GM</v>
      </c>
      <c r="Q32" s="21" t="str">
        <f>IF(TeamT[[#This Row],[General]]=2,"G","")&amp;IF(TeamT[[#This Row],[Agility]]=2,"A","")&amp;IF(TeamT[[#This Row],[Strength]]=2,"S","")&amp;IF(TeamT[[#This Row],[Passing]]=2,"P","")&amp;IF(TeamT[[#This Row],[Mutation]]=2,"M","")</f>
        <v>AS</v>
      </c>
      <c r="R32" s="212"/>
      <c r="S32" s="21">
        <v>3</v>
      </c>
      <c r="T32" s="21">
        <v>4</v>
      </c>
      <c r="U32" s="21">
        <v>9</v>
      </c>
      <c r="AA32" s="76" t="e">
        <f>HLOOKUP(Roster!$E$5,Team!$BL$2:$MK$128,31,FALSE)</f>
        <v>#N/A</v>
      </c>
      <c r="AB32" s="76" t="e">
        <f>HLOOKUP(Roster!$E$6,Team!$BL$2:$MK$128,31,FALSE)</f>
        <v>#N/A</v>
      </c>
      <c r="AC32" s="76" t="e">
        <f>HLOOKUP(Roster!$E$7,Team!$BL$2:$MK$128,31,FALSE)</f>
        <v>#N/A</v>
      </c>
      <c r="AD32" s="76" t="e">
        <f>HLOOKUP(Roster!$E$8,Team!$BL$2:$MK$128,31,FALSE)</f>
        <v>#N/A</v>
      </c>
      <c r="AE32" s="76" t="e">
        <f>HLOOKUP(Roster!$E$9,Team!$BL$2:$MK$128,31,FALSE)</f>
        <v>#N/A</v>
      </c>
      <c r="AF32" s="76" t="e">
        <f>HLOOKUP(Roster!$E$10,Team!$BL$2:$MK$128,31,FALSE)</f>
        <v>#N/A</v>
      </c>
      <c r="AG32" s="76" t="e">
        <f>HLOOKUP(Roster!$E$11,Team!$BL$2:$MK$128,31,FALSE)</f>
        <v>#N/A</v>
      </c>
      <c r="AH32" s="76" t="e">
        <f>HLOOKUP(Roster!$E$12,Team!$BL$2:$MK$128,31,FALSE)</f>
        <v>#N/A</v>
      </c>
      <c r="AI32" s="76" t="e">
        <f>HLOOKUP(Roster!$E$13,Team!$BL$2:$MK$128,31,FALSE)</f>
        <v>#N/A</v>
      </c>
      <c r="AJ32" s="76" t="e">
        <f>HLOOKUP(Roster!$E$14,Team!$BL$2:$MK$128,31,FALSE)</f>
        <v>#N/A</v>
      </c>
      <c r="AK32" s="76" t="e">
        <f>HLOOKUP(Roster!$E$15,Team!$BL$2:$MK$128,31,FALSE)</f>
        <v>#N/A</v>
      </c>
      <c r="AL32" s="76" t="e">
        <f>HLOOKUP(Roster!$E$16,Team!$BL$2:$MK$128,31,FALSE)</f>
        <v>#N/A</v>
      </c>
      <c r="AM32" s="76" t="e">
        <f>HLOOKUP(Roster!$E$17,Team!$BL$2:$MK$128,31,FALSE)</f>
        <v>#N/A</v>
      </c>
      <c r="AN32" s="76" t="e">
        <f>HLOOKUP(Roster!$E$18,Team!$BL$2:$MK$128,31,FALSE)</f>
        <v>#N/A</v>
      </c>
      <c r="AO32" s="76" t="e">
        <f>HLOOKUP(Roster!$E$19,Team!$BL$2:$MK$128,31,FALSE)</f>
        <v>#N/A</v>
      </c>
      <c r="AP32" s="76" t="e">
        <f>HLOOKUP(Roster!$E$20,Team!$BL$2:$MK$128,31,FALSE)</f>
        <v>#N/A</v>
      </c>
      <c r="AR32" s="108">
        <f t="shared" si="1"/>
        <v>0</v>
      </c>
      <c r="AS32" s="108">
        <f t="shared" si="2"/>
        <v>0</v>
      </c>
      <c r="AT32" s="108">
        <f t="shared" si="3"/>
        <v>0</v>
      </c>
      <c r="AU32" s="108">
        <f t="shared" si="4"/>
        <v>0</v>
      </c>
      <c r="AV32" s="108">
        <f t="shared" si="5"/>
        <v>0</v>
      </c>
      <c r="AW32" s="108">
        <f t="shared" si="6"/>
        <v>0</v>
      </c>
      <c r="AX32" s="108">
        <f t="shared" si="7"/>
        <v>0</v>
      </c>
      <c r="AY32" s="108">
        <f t="shared" si="8"/>
        <v>0</v>
      </c>
      <c r="AZ32" s="108">
        <f t="shared" si="9"/>
        <v>0</v>
      </c>
      <c r="BA32" s="108">
        <f t="shared" si="10"/>
        <v>0</v>
      </c>
      <c r="BB32" s="108">
        <f t="shared" si="11"/>
        <v>0</v>
      </c>
      <c r="BC32" s="108">
        <f t="shared" si="12"/>
        <v>0</v>
      </c>
      <c r="BD32" s="108">
        <f t="shared" si="13"/>
        <v>0</v>
      </c>
      <c r="BE32" s="108">
        <f t="shared" si="14"/>
        <v>0</v>
      </c>
      <c r="BF32" s="108">
        <f t="shared" si="15"/>
        <v>0</v>
      </c>
      <c r="BG32" s="108">
        <f t="shared" si="16"/>
        <v>0</v>
      </c>
      <c r="BL32" s="75" t="s">
        <v>239</v>
      </c>
      <c r="BM32" s="75" t="s">
        <v>273</v>
      </c>
      <c r="BN32" s="75" t="s">
        <v>239</v>
      </c>
      <c r="BO32" s="75" t="s">
        <v>239</v>
      </c>
      <c r="BP32" s="75" t="s">
        <v>239</v>
      </c>
      <c r="BQ32" s="75"/>
      <c r="BR32" s="75" t="s">
        <v>273</v>
      </c>
      <c r="BS32" s="75" t="s">
        <v>273</v>
      </c>
      <c r="BT32" s="75" t="s">
        <v>273</v>
      </c>
      <c r="BU32" s="75" t="s">
        <v>273</v>
      </c>
      <c r="BV32" s="75"/>
      <c r="BW32" s="81" t="s">
        <v>273</v>
      </c>
      <c r="BX32" s="81" t="s">
        <v>246</v>
      </c>
      <c r="BY32" s="81" t="s">
        <v>246</v>
      </c>
      <c r="BZ32" s="81" t="s">
        <v>246</v>
      </c>
      <c r="CA32" s="81" t="s">
        <v>246</v>
      </c>
      <c r="CB32" s="81" t="s">
        <v>273</v>
      </c>
      <c r="CC32" s="77"/>
      <c r="CD32" s="75" t="s">
        <v>239</v>
      </c>
      <c r="CE32" s="81" t="s">
        <v>246</v>
      </c>
      <c r="CF32" s="75" t="s">
        <v>239</v>
      </c>
      <c r="CG32" s="81" t="s">
        <v>246</v>
      </c>
      <c r="CH32" s="75" t="s">
        <v>239</v>
      </c>
      <c r="CI32" s="77"/>
      <c r="CJ32" s="81" t="s">
        <v>246</v>
      </c>
      <c r="CK32" s="81" t="s">
        <v>273</v>
      </c>
      <c r="CL32" s="81" t="s">
        <v>246</v>
      </c>
      <c r="CM32" s="81" t="s">
        <v>246</v>
      </c>
      <c r="CN32" s="81" t="s">
        <v>246</v>
      </c>
      <c r="CO32" s="81" t="s">
        <v>273</v>
      </c>
      <c r="CP32" s="81" t="s">
        <v>246</v>
      </c>
      <c r="CQ32" s="81" t="s">
        <v>246</v>
      </c>
      <c r="CR32" s="81" t="s">
        <v>246</v>
      </c>
      <c r="CS32" s="81" t="s">
        <v>246</v>
      </c>
      <c r="CT32" s="81" t="s">
        <v>246</v>
      </c>
      <c r="CU32" s="81"/>
      <c r="CV32" s="75" t="s">
        <v>273</v>
      </c>
      <c r="CW32" s="75" t="s">
        <v>273</v>
      </c>
      <c r="CX32" s="75" t="s">
        <v>273</v>
      </c>
      <c r="CY32" s="75" t="s">
        <v>273</v>
      </c>
      <c r="CZ32" s="75" t="s">
        <v>273</v>
      </c>
      <c r="DA32" s="81"/>
      <c r="DB32" s="75" t="s">
        <v>239</v>
      </c>
      <c r="DC32" s="75" t="s">
        <v>273</v>
      </c>
      <c r="DD32" s="75" t="s">
        <v>273</v>
      </c>
      <c r="DE32" s="75" t="s">
        <v>273</v>
      </c>
      <c r="DF32" s="75" t="s">
        <v>273</v>
      </c>
      <c r="DG32" s="75" t="s">
        <v>239</v>
      </c>
      <c r="DH32" s="75"/>
      <c r="DI32" s="75" t="s">
        <v>239</v>
      </c>
      <c r="DJ32" s="75" t="s">
        <v>273</v>
      </c>
      <c r="DK32" s="75" t="s">
        <v>273</v>
      </c>
      <c r="DL32" s="75" t="s">
        <v>239</v>
      </c>
      <c r="DM32" s="75" t="s">
        <v>239</v>
      </c>
      <c r="DN32" s="75" t="s">
        <v>239</v>
      </c>
      <c r="DO32" s="75"/>
      <c r="DP32" s="75" t="s">
        <v>239</v>
      </c>
      <c r="DQ32" s="75" t="s">
        <v>273</v>
      </c>
      <c r="DR32" s="75" t="s">
        <v>239</v>
      </c>
      <c r="DS32" s="75" t="s">
        <v>273</v>
      </c>
      <c r="DT32" s="75" t="s">
        <v>239</v>
      </c>
      <c r="DU32" s="75"/>
      <c r="DV32" s="75" t="s">
        <v>273</v>
      </c>
      <c r="DW32" s="75" t="s">
        <v>273</v>
      </c>
      <c r="DX32" s="75" t="s">
        <v>239</v>
      </c>
      <c r="DY32" s="75" t="s">
        <v>239</v>
      </c>
      <c r="DZ32" s="75" t="s">
        <v>273</v>
      </c>
      <c r="EA32" s="75" t="s">
        <v>273</v>
      </c>
      <c r="EB32" s="75" t="s">
        <v>239</v>
      </c>
      <c r="EC32" s="75" t="s">
        <v>273</v>
      </c>
      <c r="ED32" s="75" t="s">
        <v>273</v>
      </c>
      <c r="EE32" s="75"/>
      <c r="EF32" s="75" t="s">
        <v>239</v>
      </c>
      <c r="EG32" s="75" t="s">
        <v>273</v>
      </c>
      <c r="EH32" s="75" t="s">
        <v>239</v>
      </c>
      <c r="EI32" s="75" t="s">
        <v>273</v>
      </c>
      <c r="EJ32" s="75" t="s">
        <v>239</v>
      </c>
      <c r="EK32" s="75"/>
      <c r="EL32" s="75" t="s">
        <v>273</v>
      </c>
      <c r="EM32" s="75" t="s">
        <v>273</v>
      </c>
      <c r="EN32" s="75" t="s">
        <v>239</v>
      </c>
      <c r="EO32" s="75" t="s">
        <v>273</v>
      </c>
      <c r="EP32" s="75" t="s">
        <v>273</v>
      </c>
      <c r="EQ32" s="75"/>
      <c r="ER32" s="75" t="s">
        <v>239</v>
      </c>
      <c r="ES32" s="75" t="s">
        <v>273</v>
      </c>
      <c r="ET32" s="75" t="s">
        <v>273</v>
      </c>
      <c r="EU32" s="75" t="s">
        <v>273</v>
      </c>
      <c r="EV32" s="75" t="s">
        <v>239</v>
      </c>
      <c r="EW32" s="75" t="s">
        <v>239</v>
      </c>
      <c r="EX32" s="75" t="s">
        <v>239</v>
      </c>
      <c r="EY32" s="75"/>
      <c r="EZ32" s="75" t="s">
        <v>239</v>
      </c>
      <c r="FA32" s="75" t="s">
        <v>273</v>
      </c>
      <c r="FB32" s="75" t="s">
        <v>273</v>
      </c>
      <c r="FC32" s="75" t="s">
        <v>239</v>
      </c>
      <c r="FD32" s="75" t="s">
        <v>239</v>
      </c>
      <c r="FE32" s="75" t="s">
        <v>239</v>
      </c>
      <c r="FF32" s="75"/>
      <c r="FG32" s="81" t="s">
        <v>246</v>
      </c>
      <c r="FH32" s="81" t="s">
        <v>273</v>
      </c>
      <c r="FI32" s="81" t="s">
        <v>246</v>
      </c>
      <c r="FJ32" s="81" t="s">
        <v>246</v>
      </c>
      <c r="FK32" s="81" t="s">
        <v>246</v>
      </c>
      <c r="FL32" s="75"/>
      <c r="FM32" s="75" t="s">
        <v>273</v>
      </c>
      <c r="FN32" s="75" t="s">
        <v>273</v>
      </c>
      <c r="FO32" s="75" t="s">
        <v>239</v>
      </c>
      <c r="FP32" s="75" t="s">
        <v>239</v>
      </c>
      <c r="FQ32" s="75" t="s">
        <v>273</v>
      </c>
      <c r="FR32" s="75"/>
      <c r="FS32" s="75" t="s">
        <v>239</v>
      </c>
      <c r="FT32" s="75" t="s">
        <v>273</v>
      </c>
      <c r="FU32" s="75" t="s">
        <v>239</v>
      </c>
      <c r="FV32" s="75" t="s">
        <v>273</v>
      </c>
      <c r="FW32" s="75" t="s">
        <v>239</v>
      </c>
      <c r="FX32" s="75" t="s">
        <v>239</v>
      </c>
      <c r="FY32" s="75"/>
      <c r="FZ32" s="75" t="s">
        <v>273</v>
      </c>
      <c r="GA32" s="75" t="s">
        <v>363</v>
      </c>
      <c r="GB32" s="75" t="s">
        <v>273</v>
      </c>
      <c r="GC32" s="75" t="s">
        <v>273</v>
      </c>
      <c r="GD32" s="75" t="s">
        <v>239</v>
      </c>
      <c r="GE32" s="75" t="s">
        <v>239</v>
      </c>
      <c r="GF32" s="75" t="s">
        <v>273</v>
      </c>
      <c r="GG32" s="75"/>
      <c r="GH32" s="81" t="s">
        <v>246</v>
      </c>
      <c r="GI32" s="81" t="s">
        <v>273</v>
      </c>
      <c r="GJ32" s="81" t="s">
        <v>246</v>
      </c>
      <c r="GK32" s="81" t="s">
        <v>246</v>
      </c>
      <c r="GL32" s="81" t="s">
        <v>246</v>
      </c>
      <c r="GM32" s="81"/>
      <c r="GN32" s="81" t="s">
        <v>231</v>
      </c>
      <c r="GO32" s="75" t="s">
        <v>273</v>
      </c>
      <c r="GP32" s="75" t="s">
        <v>273</v>
      </c>
      <c r="GQ32" s="81" t="s">
        <v>231</v>
      </c>
      <c r="GR32" s="81"/>
      <c r="GS32" s="75" t="s">
        <v>239</v>
      </c>
      <c r="GT32" s="75" t="s">
        <v>273</v>
      </c>
      <c r="GU32" s="75" t="s">
        <v>239</v>
      </c>
      <c r="GV32" s="75" t="s">
        <v>239</v>
      </c>
      <c r="GW32" s="75" t="s">
        <v>239</v>
      </c>
      <c r="GX32" s="75" t="s">
        <v>273</v>
      </c>
      <c r="GY32" s="75" t="s">
        <v>239</v>
      </c>
      <c r="GZ32" s="75" t="s">
        <v>239</v>
      </c>
      <c r="HA32" s="75" t="s">
        <v>239</v>
      </c>
      <c r="HB32" s="75" t="s">
        <v>239</v>
      </c>
      <c r="HC32" s="75" t="s">
        <v>273</v>
      </c>
      <c r="HD32" s="75" t="s">
        <v>239</v>
      </c>
      <c r="HE32" s="75"/>
      <c r="HF32" s="75" t="s">
        <v>239</v>
      </c>
      <c r="HG32" s="75" t="s">
        <v>273</v>
      </c>
      <c r="HH32" s="75" t="s">
        <v>273</v>
      </c>
      <c r="HI32" s="75" t="s">
        <v>239</v>
      </c>
      <c r="HJ32" s="75" t="s">
        <v>239</v>
      </c>
      <c r="HK32" s="75" t="s">
        <v>273</v>
      </c>
      <c r="HL32" s="75" t="s">
        <v>239</v>
      </c>
      <c r="HM32" s="75"/>
      <c r="HN32" s="75" t="s">
        <v>239</v>
      </c>
      <c r="HO32" s="75" t="s">
        <v>239</v>
      </c>
      <c r="HP32" s="75" t="s">
        <v>273</v>
      </c>
      <c r="HQ32" s="75" t="s">
        <v>273</v>
      </c>
      <c r="HR32" s="75" t="s">
        <v>239</v>
      </c>
      <c r="HS32" s="75" t="s">
        <v>239</v>
      </c>
      <c r="HT32" s="75"/>
      <c r="HU32" s="75" t="s">
        <v>239</v>
      </c>
      <c r="HV32" s="75" t="s">
        <v>273</v>
      </c>
      <c r="HW32" s="75" t="s">
        <v>239</v>
      </c>
      <c r="HX32" s="75" t="s">
        <v>239</v>
      </c>
      <c r="HY32" s="75" t="s">
        <v>239</v>
      </c>
      <c r="HZ32" s="75" t="s">
        <v>239</v>
      </c>
      <c r="IA32" s="75"/>
      <c r="IB32" s="81" t="s">
        <v>246</v>
      </c>
      <c r="IC32" s="81" t="s">
        <v>273</v>
      </c>
      <c r="ID32" s="81" t="s">
        <v>273</v>
      </c>
      <c r="IE32" s="81" t="s">
        <v>273</v>
      </c>
      <c r="IF32" s="81" t="s">
        <v>246</v>
      </c>
      <c r="IG32" s="81" t="s">
        <v>246</v>
      </c>
      <c r="IH32" s="81"/>
      <c r="II32" s="75" t="s">
        <v>273</v>
      </c>
      <c r="IJ32" s="75" t="s">
        <v>273</v>
      </c>
      <c r="IK32" s="75" t="s">
        <v>273</v>
      </c>
      <c r="IL32" s="75" t="s">
        <v>273</v>
      </c>
      <c r="IM32" s="75" t="s">
        <v>273</v>
      </c>
      <c r="IN32" s="81"/>
      <c r="IO32" s="81" t="s">
        <v>231</v>
      </c>
      <c r="IP32" s="75" t="s">
        <v>239</v>
      </c>
      <c r="IQ32" s="81" t="s">
        <v>231</v>
      </c>
      <c r="IR32" s="81" t="s">
        <v>231</v>
      </c>
      <c r="IS32" s="75" t="s">
        <v>239</v>
      </c>
      <c r="IT32" s="75" t="s">
        <v>273</v>
      </c>
      <c r="IU32" s="81" t="s">
        <v>231</v>
      </c>
      <c r="IV32" s="81"/>
      <c r="IW32" s="75" t="s">
        <v>239</v>
      </c>
      <c r="IX32" s="75" t="s">
        <v>239</v>
      </c>
      <c r="IY32" s="75" t="s">
        <v>273</v>
      </c>
      <c r="IZ32" s="75" t="s">
        <v>239</v>
      </c>
      <c r="JA32" s="75" t="s">
        <v>239</v>
      </c>
      <c r="JB32" s="81"/>
      <c r="JC32" s="81" t="s">
        <v>246</v>
      </c>
      <c r="JD32" s="81" t="s">
        <v>239</v>
      </c>
      <c r="JE32" s="81" t="s">
        <v>246</v>
      </c>
      <c r="JF32" s="81" t="s">
        <v>273</v>
      </c>
      <c r="JG32" s="81" t="s">
        <v>273</v>
      </c>
      <c r="JH32" s="81" t="s">
        <v>273</v>
      </c>
      <c r="JI32" s="81" t="s">
        <v>273</v>
      </c>
      <c r="JJ32" s="81" t="s">
        <v>246</v>
      </c>
      <c r="JK32" s="81" t="s">
        <v>246</v>
      </c>
      <c r="JL32" s="81"/>
      <c r="JM32" s="75" t="s">
        <v>239</v>
      </c>
      <c r="JN32" s="75" t="s">
        <v>273</v>
      </c>
      <c r="JO32" s="75" t="s">
        <v>239</v>
      </c>
      <c r="JP32" s="81"/>
      <c r="JQ32" s="75" t="s">
        <v>239</v>
      </c>
      <c r="JR32" s="75" t="s">
        <v>273</v>
      </c>
      <c r="JS32" s="75" t="s">
        <v>273</v>
      </c>
      <c r="JT32" s="75" t="s">
        <v>273</v>
      </c>
      <c r="JU32" s="75" t="s">
        <v>239</v>
      </c>
      <c r="JV32" s="75" t="s">
        <v>239</v>
      </c>
    </row>
    <row r="33" spans="1:282" x14ac:dyDescent="0.15">
      <c r="A33" s="104" t="s">
        <v>650</v>
      </c>
      <c r="B33" s="6" t="s">
        <v>649</v>
      </c>
      <c r="C33" s="6">
        <v>60000</v>
      </c>
      <c r="D33" s="6">
        <v>16</v>
      </c>
      <c r="E33" s="6">
        <v>6</v>
      </c>
      <c r="F33" s="6">
        <v>3</v>
      </c>
      <c r="G33" s="6" t="s">
        <v>36</v>
      </c>
      <c r="H33" s="6" t="s">
        <v>37</v>
      </c>
      <c r="I33" s="6" t="s">
        <v>46</v>
      </c>
      <c r="J33" s="21" t="s">
        <v>606</v>
      </c>
      <c r="K33" s="21">
        <v>1</v>
      </c>
      <c r="L33" s="21">
        <v>2</v>
      </c>
      <c r="M33" s="21">
        <v>2</v>
      </c>
      <c r="N33" s="21">
        <v>2</v>
      </c>
      <c r="O33" s="21">
        <v>0</v>
      </c>
      <c r="P33" s="23" t="str">
        <f>IF(TeamT[[#This Row],[General]]+TeamT[[#This Row],[Agility]]+TeamT[[#This Row],[Strength]]+TeamT[[#This Row],[Passing]]+TeamT[[#This Row],[Mutation]]&gt;0,IF(TeamT[[#This Row],[General]]=1,"G","")&amp;IF(TeamT[[#This Row],[Agility]]=1,"A","")&amp;IF(TeamT[[#This Row],[Strength]]=1,"S","")&amp;IF(TeamT[[#This Row],[Passing]]=1,"P","")&amp;IF(TeamT[[#This Row],[Mutation]]=1,"M",""),"Star")</f>
        <v>G</v>
      </c>
      <c r="Q33" s="23" t="str">
        <f>IF(TeamT[[#This Row],[General]]=2,"G","")&amp;IF(TeamT[[#This Row],[Agility]]=2,"A","")&amp;IF(TeamT[[#This Row],[Strength]]=2,"S","")&amp;IF(TeamT[[#This Row],[Passing]]=2,"P","")&amp;IF(TeamT[[#This Row],[Mutation]]=2,"M","")</f>
        <v>ASP</v>
      </c>
      <c r="R33" s="212"/>
      <c r="S33" s="21">
        <v>3</v>
      </c>
      <c r="T33" s="21">
        <v>4</v>
      </c>
      <c r="U33" s="21">
        <v>9</v>
      </c>
      <c r="AA33" s="76" t="e">
        <f>HLOOKUP(Roster!$E$5,Team!$BL$2:$MK$128,32,FALSE)</f>
        <v>#N/A</v>
      </c>
      <c r="AB33" s="76" t="e">
        <f>HLOOKUP(Roster!$E$6,Team!$BL$2:$MK$128,32,FALSE)</f>
        <v>#N/A</v>
      </c>
      <c r="AC33" s="76" t="e">
        <f>HLOOKUP(Roster!$E$7,Team!$BL$2:$MK$128,32,FALSE)</f>
        <v>#N/A</v>
      </c>
      <c r="AD33" s="76" t="e">
        <f>HLOOKUP(Roster!$E$8,Team!$BL$2:$MK$128,32,FALSE)</f>
        <v>#N/A</v>
      </c>
      <c r="AE33" s="76" t="e">
        <f>HLOOKUP(Roster!$E$9,Team!$BL$2:$MK$128,32,FALSE)</f>
        <v>#N/A</v>
      </c>
      <c r="AF33" s="76" t="e">
        <f>HLOOKUP(Roster!$E$10,Team!$BL$2:$MK$128,32,FALSE)</f>
        <v>#N/A</v>
      </c>
      <c r="AG33" s="76" t="e">
        <f>HLOOKUP(Roster!$E$11,Team!$BL$2:$MK$128,32,FALSE)</f>
        <v>#N/A</v>
      </c>
      <c r="AH33" s="76" t="e">
        <f>HLOOKUP(Roster!$E$12,Team!$BL$2:$MK$128,32,FALSE)</f>
        <v>#N/A</v>
      </c>
      <c r="AI33" s="76" t="e">
        <f>HLOOKUP(Roster!$E$13,Team!$BL$2:$MK$128,32,FALSE)</f>
        <v>#N/A</v>
      </c>
      <c r="AJ33" s="76" t="e">
        <f>HLOOKUP(Roster!$E$14,Team!$BL$2:$MK$128,32,FALSE)</f>
        <v>#N/A</v>
      </c>
      <c r="AK33" s="76" t="e">
        <f>HLOOKUP(Roster!$E$15,Team!$BL$2:$MK$128,32,FALSE)</f>
        <v>#N/A</v>
      </c>
      <c r="AL33" s="76" t="e">
        <f>HLOOKUP(Roster!$E$16,Team!$BL$2:$MK$128,32,FALSE)</f>
        <v>#N/A</v>
      </c>
      <c r="AM33" s="76" t="e">
        <f>HLOOKUP(Roster!$E$17,Team!$BL$2:$MK$128,32,FALSE)</f>
        <v>#N/A</v>
      </c>
      <c r="AN33" s="76" t="e">
        <f>HLOOKUP(Roster!$E$18,Team!$BL$2:$MK$128,32,FALSE)</f>
        <v>#N/A</v>
      </c>
      <c r="AO33" s="76" t="e">
        <f>HLOOKUP(Roster!$E$19,Team!$BL$2:$MK$128,32,FALSE)</f>
        <v>#N/A</v>
      </c>
      <c r="AP33" s="76" t="e">
        <f>HLOOKUP(Roster!$E$20,Team!$BL$2:$MK$128,32,FALSE)</f>
        <v>#N/A</v>
      </c>
      <c r="AR33" s="108">
        <f t="shared" si="1"/>
        <v>0</v>
      </c>
      <c r="AS33" s="108">
        <f t="shared" si="2"/>
        <v>0</v>
      </c>
      <c r="AT33" s="108">
        <f t="shared" si="3"/>
        <v>0</v>
      </c>
      <c r="AU33" s="108">
        <f t="shared" si="4"/>
        <v>0</v>
      </c>
      <c r="AV33" s="108">
        <f t="shared" si="5"/>
        <v>0</v>
      </c>
      <c r="AW33" s="108">
        <f t="shared" si="6"/>
        <v>0</v>
      </c>
      <c r="AX33" s="108">
        <f t="shared" si="7"/>
        <v>0</v>
      </c>
      <c r="AY33" s="108">
        <f t="shared" si="8"/>
        <v>0</v>
      </c>
      <c r="AZ33" s="108">
        <f t="shared" si="9"/>
        <v>0</v>
      </c>
      <c r="BA33" s="108">
        <f t="shared" si="10"/>
        <v>0</v>
      </c>
      <c r="BB33" s="108">
        <f t="shared" si="11"/>
        <v>0</v>
      </c>
      <c r="BC33" s="108">
        <f t="shared" si="12"/>
        <v>0</v>
      </c>
      <c r="BD33" s="108">
        <f t="shared" si="13"/>
        <v>0</v>
      </c>
      <c r="BE33" s="108">
        <f t="shared" si="14"/>
        <v>0</v>
      </c>
      <c r="BF33" s="108">
        <f t="shared" si="15"/>
        <v>0</v>
      </c>
      <c r="BG33" s="108">
        <f t="shared" si="16"/>
        <v>0</v>
      </c>
      <c r="BL33" s="75" t="s">
        <v>224</v>
      </c>
      <c r="BM33" s="75" t="s">
        <v>70</v>
      </c>
      <c r="BN33" s="75" t="s">
        <v>224</v>
      </c>
      <c r="BO33" s="75" t="s">
        <v>224</v>
      </c>
      <c r="BP33" s="75" t="s">
        <v>224</v>
      </c>
      <c r="BQ33" s="75"/>
      <c r="BR33" s="75" t="s">
        <v>70</v>
      </c>
      <c r="BS33" s="75" t="s">
        <v>70</v>
      </c>
      <c r="BT33" s="75" t="s">
        <v>70</v>
      </c>
      <c r="BU33" s="75" t="s">
        <v>70</v>
      </c>
      <c r="BV33" s="75"/>
      <c r="BW33" s="81" t="s">
        <v>240</v>
      </c>
      <c r="BX33" s="81" t="s">
        <v>70</v>
      </c>
      <c r="BY33" s="81" t="s">
        <v>70</v>
      </c>
      <c r="BZ33" s="81" t="s">
        <v>70</v>
      </c>
      <c r="CA33" s="81" t="s">
        <v>70</v>
      </c>
      <c r="CB33" s="81" t="s">
        <v>240</v>
      </c>
      <c r="CC33" s="77"/>
      <c r="CD33" s="75" t="s">
        <v>224</v>
      </c>
      <c r="CE33" s="81" t="s">
        <v>70</v>
      </c>
      <c r="CF33" s="75" t="s">
        <v>224</v>
      </c>
      <c r="CG33" s="81" t="s">
        <v>70</v>
      </c>
      <c r="CH33" s="75" t="s">
        <v>224</v>
      </c>
      <c r="CI33" s="77"/>
      <c r="CJ33" s="81" t="s">
        <v>70</v>
      </c>
      <c r="CK33" s="81" t="s">
        <v>240</v>
      </c>
      <c r="CL33" s="81" t="s">
        <v>70</v>
      </c>
      <c r="CM33" s="81" t="s">
        <v>70</v>
      </c>
      <c r="CN33" s="81" t="s">
        <v>70</v>
      </c>
      <c r="CO33" s="81" t="s">
        <v>240</v>
      </c>
      <c r="CP33" s="81" t="s">
        <v>70</v>
      </c>
      <c r="CQ33" s="81" t="s">
        <v>70</v>
      </c>
      <c r="CR33" s="81" t="s">
        <v>70</v>
      </c>
      <c r="CS33" s="81" t="s">
        <v>70</v>
      </c>
      <c r="CT33" s="81" t="s">
        <v>70</v>
      </c>
      <c r="CU33" s="81"/>
      <c r="CV33" s="75" t="s">
        <v>70</v>
      </c>
      <c r="CW33" s="75" t="s">
        <v>70</v>
      </c>
      <c r="CX33" s="75" t="s">
        <v>70</v>
      </c>
      <c r="CY33" s="75" t="s">
        <v>70</v>
      </c>
      <c r="CZ33" s="75" t="s">
        <v>70</v>
      </c>
      <c r="DA33" s="81"/>
      <c r="DB33" s="75" t="s">
        <v>224</v>
      </c>
      <c r="DC33" s="75" t="s">
        <v>70</v>
      </c>
      <c r="DD33" s="75" t="s">
        <v>70</v>
      </c>
      <c r="DE33" s="75" t="s">
        <v>70</v>
      </c>
      <c r="DF33" s="75" t="s">
        <v>70</v>
      </c>
      <c r="DG33" s="75" t="s">
        <v>224</v>
      </c>
      <c r="DH33" s="75"/>
      <c r="DI33" s="75" t="s">
        <v>224</v>
      </c>
      <c r="DJ33" s="75" t="s">
        <v>70</v>
      </c>
      <c r="DK33" s="75" t="s">
        <v>70</v>
      </c>
      <c r="DL33" s="75" t="s">
        <v>224</v>
      </c>
      <c r="DM33" s="75" t="s">
        <v>224</v>
      </c>
      <c r="DN33" s="75" t="s">
        <v>224</v>
      </c>
      <c r="DO33" s="75"/>
      <c r="DP33" s="75" t="s">
        <v>224</v>
      </c>
      <c r="DQ33" s="75" t="s">
        <v>70</v>
      </c>
      <c r="DR33" s="75" t="s">
        <v>224</v>
      </c>
      <c r="DS33" s="75" t="s">
        <v>70</v>
      </c>
      <c r="DT33" s="75" t="s">
        <v>224</v>
      </c>
      <c r="DU33" s="75"/>
      <c r="DV33" s="75" t="s">
        <v>70</v>
      </c>
      <c r="DW33" s="75" t="s">
        <v>70</v>
      </c>
      <c r="DX33" s="75" t="s">
        <v>224</v>
      </c>
      <c r="DY33" s="75" t="s">
        <v>224</v>
      </c>
      <c r="DZ33" s="75" t="s">
        <v>70</v>
      </c>
      <c r="EA33" s="75" t="s">
        <v>70</v>
      </c>
      <c r="EB33" s="75" t="s">
        <v>224</v>
      </c>
      <c r="EC33" s="75" t="s">
        <v>70</v>
      </c>
      <c r="ED33" s="75" t="s">
        <v>70</v>
      </c>
      <c r="EE33" s="75"/>
      <c r="EF33" s="75" t="s">
        <v>224</v>
      </c>
      <c r="EG33" s="75" t="s">
        <v>70</v>
      </c>
      <c r="EH33" s="75" t="s">
        <v>224</v>
      </c>
      <c r="EI33" s="75" t="s">
        <v>70</v>
      </c>
      <c r="EJ33" s="75" t="s">
        <v>224</v>
      </c>
      <c r="EK33" s="75"/>
      <c r="EL33" s="75" t="s">
        <v>70</v>
      </c>
      <c r="EM33" s="75" t="s">
        <v>70</v>
      </c>
      <c r="EN33" s="75" t="s">
        <v>224</v>
      </c>
      <c r="EO33" s="75" t="s">
        <v>70</v>
      </c>
      <c r="EP33" s="75" t="s">
        <v>70</v>
      </c>
      <c r="EQ33" s="75"/>
      <c r="ER33" s="75" t="s">
        <v>224</v>
      </c>
      <c r="ES33" s="75" t="s">
        <v>70</v>
      </c>
      <c r="ET33" s="75" t="s">
        <v>70</v>
      </c>
      <c r="EU33" s="75" t="s">
        <v>70</v>
      </c>
      <c r="EV33" s="75" t="s">
        <v>224</v>
      </c>
      <c r="EW33" s="75" t="s">
        <v>224</v>
      </c>
      <c r="EX33" s="75" t="s">
        <v>224</v>
      </c>
      <c r="EY33" s="75"/>
      <c r="EZ33" s="75" t="s">
        <v>224</v>
      </c>
      <c r="FA33" s="75" t="s">
        <v>70</v>
      </c>
      <c r="FB33" s="75" t="s">
        <v>70</v>
      </c>
      <c r="FC33" s="75" t="s">
        <v>224</v>
      </c>
      <c r="FD33" s="75" t="s">
        <v>224</v>
      </c>
      <c r="FE33" s="75" t="s">
        <v>224</v>
      </c>
      <c r="FF33" s="75"/>
      <c r="FG33" s="81" t="s">
        <v>70</v>
      </c>
      <c r="FH33" s="81" t="s">
        <v>240</v>
      </c>
      <c r="FI33" s="81" t="s">
        <v>70</v>
      </c>
      <c r="FJ33" s="81" t="s">
        <v>70</v>
      </c>
      <c r="FK33" s="81" t="s">
        <v>70</v>
      </c>
      <c r="FL33" s="75"/>
      <c r="FM33" s="75" t="s">
        <v>70</v>
      </c>
      <c r="FN33" s="75" t="s">
        <v>70</v>
      </c>
      <c r="FO33" s="75" t="s">
        <v>224</v>
      </c>
      <c r="FP33" s="75" t="s">
        <v>224</v>
      </c>
      <c r="FQ33" s="75" t="s">
        <v>70</v>
      </c>
      <c r="FR33" s="75"/>
      <c r="FS33" s="75" t="s">
        <v>224</v>
      </c>
      <c r="FT33" s="75" t="s">
        <v>70</v>
      </c>
      <c r="FU33" s="75" t="s">
        <v>224</v>
      </c>
      <c r="FV33" s="75" t="s">
        <v>70</v>
      </c>
      <c r="FW33" s="75" t="s">
        <v>224</v>
      </c>
      <c r="FX33" s="75" t="s">
        <v>224</v>
      </c>
      <c r="FY33" s="75"/>
      <c r="FZ33" s="75" t="s">
        <v>70</v>
      </c>
      <c r="GA33" s="75"/>
      <c r="GB33" s="75" t="s">
        <v>70</v>
      </c>
      <c r="GC33" s="75" t="s">
        <v>70</v>
      </c>
      <c r="GD33" s="75" t="s">
        <v>224</v>
      </c>
      <c r="GE33" s="75" t="s">
        <v>224</v>
      </c>
      <c r="GF33" s="75" t="s">
        <v>70</v>
      </c>
      <c r="GG33" s="75"/>
      <c r="GH33" s="81" t="s">
        <v>70</v>
      </c>
      <c r="GI33" s="81" t="s">
        <v>240</v>
      </c>
      <c r="GJ33" s="81" t="s">
        <v>70</v>
      </c>
      <c r="GK33" s="81" t="s">
        <v>70</v>
      </c>
      <c r="GL33" s="81" t="s">
        <v>70</v>
      </c>
      <c r="GM33" s="81"/>
      <c r="GN33" s="81" t="s">
        <v>340</v>
      </c>
      <c r="GO33" s="75" t="s">
        <v>70</v>
      </c>
      <c r="GP33" s="75" t="s">
        <v>70</v>
      </c>
      <c r="GQ33" s="81" t="s">
        <v>340</v>
      </c>
      <c r="GR33" s="81"/>
      <c r="GS33" s="75" t="s">
        <v>224</v>
      </c>
      <c r="GT33" s="75" t="s">
        <v>70</v>
      </c>
      <c r="GU33" s="75" t="s">
        <v>224</v>
      </c>
      <c r="GV33" s="75" t="s">
        <v>224</v>
      </c>
      <c r="GW33" s="75" t="s">
        <v>224</v>
      </c>
      <c r="GX33" s="75" t="s">
        <v>70</v>
      </c>
      <c r="GY33" s="75" t="s">
        <v>224</v>
      </c>
      <c r="GZ33" s="75" t="s">
        <v>224</v>
      </c>
      <c r="HA33" s="75" t="s">
        <v>224</v>
      </c>
      <c r="HB33" s="75" t="s">
        <v>224</v>
      </c>
      <c r="HC33" s="75" t="s">
        <v>70</v>
      </c>
      <c r="HD33" s="75" t="s">
        <v>224</v>
      </c>
      <c r="HE33" s="75"/>
      <c r="HF33" s="75" t="s">
        <v>224</v>
      </c>
      <c r="HG33" s="75" t="s">
        <v>70</v>
      </c>
      <c r="HH33" s="75" t="s">
        <v>70</v>
      </c>
      <c r="HI33" s="75" t="s">
        <v>224</v>
      </c>
      <c r="HJ33" s="75" t="s">
        <v>224</v>
      </c>
      <c r="HK33" s="75" t="s">
        <v>70</v>
      </c>
      <c r="HL33" s="75" t="s">
        <v>224</v>
      </c>
      <c r="HM33" s="75"/>
      <c r="HN33" s="75" t="s">
        <v>224</v>
      </c>
      <c r="HO33" s="75" t="s">
        <v>224</v>
      </c>
      <c r="HP33" s="75" t="s">
        <v>70</v>
      </c>
      <c r="HQ33" s="75" t="s">
        <v>70</v>
      </c>
      <c r="HR33" s="75" t="s">
        <v>224</v>
      </c>
      <c r="HS33" s="75" t="s">
        <v>224</v>
      </c>
      <c r="HT33" s="75"/>
      <c r="HU33" s="75" t="s">
        <v>224</v>
      </c>
      <c r="HV33" s="75" t="s">
        <v>70</v>
      </c>
      <c r="HW33" s="75" t="s">
        <v>224</v>
      </c>
      <c r="HX33" s="75" t="s">
        <v>224</v>
      </c>
      <c r="HY33" s="75" t="s">
        <v>224</v>
      </c>
      <c r="HZ33" s="75" t="s">
        <v>224</v>
      </c>
      <c r="IA33" s="75"/>
      <c r="IB33" s="81" t="s">
        <v>70</v>
      </c>
      <c r="IC33" s="81" t="s">
        <v>240</v>
      </c>
      <c r="ID33" s="81" t="s">
        <v>240</v>
      </c>
      <c r="IE33" s="81" t="s">
        <v>240</v>
      </c>
      <c r="IF33" s="81" t="s">
        <v>70</v>
      </c>
      <c r="IG33" s="81" t="s">
        <v>70</v>
      </c>
      <c r="IH33" s="81"/>
      <c r="II33" s="75" t="s">
        <v>70</v>
      </c>
      <c r="IJ33" s="75" t="s">
        <v>70</v>
      </c>
      <c r="IK33" s="75" t="s">
        <v>70</v>
      </c>
      <c r="IL33" s="75" t="s">
        <v>70</v>
      </c>
      <c r="IM33" s="75" t="s">
        <v>70</v>
      </c>
      <c r="IN33" s="81"/>
      <c r="IO33" s="81" t="s">
        <v>340</v>
      </c>
      <c r="IP33" s="75" t="s">
        <v>224</v>
      </c>
      <c r="IQ33" s="81" t="s">
        <v>340</v>
      </c>
      <c r="IR33" s="81" t="s">
        <v>340</v>
      </c>
      <c r="IS33" s="75" t="s">
        <v>224</v>
      </c>
      <c r="IT33" s="75" t="s">
        <v>70</v>
      </c>
      <c r="IU33" s="81" t="s">
        <v>340</v>
      </c>
      <c r="IV33" s="81"/>
      <c r="IW33" s="75" t="s">
        <v>224</v>
      </c>
      <c r="IX33" s="75" t="s">
        <v>224</v>
      </c>
      <c r="IY33" s="75" t="s">
        <v>70</v>
      </c>
      <c r="IZ33" s="75" t="s">
        <v>224</v>
      </c>
      <c r="JA33" s="75" t="s">
        <v>224</v>
      </c>
      <c r="JB33" s="81"/>
      <c r="JC33" s="81" t="s">
        <v>70</v>
      </c>
      <c r="JD33" s="81" t="s">
        <v>224</v>
      </c>
      <c r="JE33" s="81" t="s">
        <v>70</v>
      </c>
      <c r="JF33" s="81" t="s">
        <v>240</v>
      </c>
      <c r="JG33" s="81" t="s">
        <v>240</v>
      </c>
      <c r="JH33" s="81" t="s">
        <v>240</v>
      </c>
      <c r="JI33" s="81" t="s">
        <v>240</v>
      </c>
      <c r="JJ33" s="81" t="s">
        <v>70</v>
      </c>
      <c r="JK33" s="81" t="s">
        <v>70</v>
      </c>
      <c r="JL33" s="81"/>
      <c r="JM33" s="75" t="s">
        <v>224</v>
      </c>
      <c r="JN33" s="75" t="s">
        <v>70</v>
      </c>
      <c r="JO33" s="75" t="s">
        <v>224</v>
      </c>
      <c r="JP33" s="81"/>
      <c r="JQ33" s="75" t="s">
        <v>224</v>
      </c>
      <c r="JR33" s="75" t="s">
        <v>70</v>
      </c>
      <c r="JS33" s="75" t="s">
        <v>70</v>
      </c>
      <c r="JT33" s="75" t="s">
        <v>70</v>
      </c>
      <c r="JU33" s="75" t="s">
        <v>224</v>
      </c>
      <c r="JV33" s="75" t="s">
        <v>224</v>
      </c>
    </row>
    <row r="34" spans="1:282" x14ac:dyDescent="0.15">
      <c r="A34" s="104" t="s">
        <v>651</v>
      </c>
      <c r="B34" s="6" t="s">
        <v>649</v>
      </c>
      <c r="C34" s="6">
        <v>80000</v>
      </c>
      <c r="D34" s="6">
        <v>4</v>
      </c>
      <c r="E34" s="6">
        <v>6</v>
      </c>
      <c r="F34" s="6">
        <v>3</v>
      </c>
      <c r="G34" s="6" t="s">
        <v>36</v>
      </c>
      <c r="H34" s="6" t="s">
        <v>37</v>
      </c>
      <c r="I34" s="6" t="s">
        <v>38</v>
      </c>
      <c r="J34" s="21" t="s">
        <v>698</v>
      </c>
      <c r="K34" s="21">
        <v>1</v>
      </c>
      <c r="L34" s="21">
        <v>1</v>
      </c>
      <c r="M34" s="21">
        <v>1</v>
      </c>
      <c r="N34" s="21">
        <v>2</v>
      </c>
      <c r="O34" s="21">
        <v>0</v>
      </c>
      <c r="P34" s="23" t="str">
        <f>IF(TeamT[[#This Row],[General]]+TeamT[[#This Row],[Agility]]+TeamT[[#This Row],[Strength]]+TeamT[[#This Row],[Passing]]+TeamT[[#This Row],[Mutation]]&gt;0,IF(TeamT[[#This Row],[General]]=1,"G","")&amp;IF(TeamT[[#This Row],[Agility]]=1,"A","")&amp;IF(TeamT[[#This Row],[Strength]]=1,"S","")&amp;IF(TeamT[[#This Row],[Passing]]=1,"P","")&amp;IF(TeamT[[#This Row],[Mutation]]=1,"M",""),"Star")</f>
        <v>GAS</v>
      </c>
      <c r="Q34" s="23" t="str">
        <f>IF(TeamT[[#This Row],[General]]=2,"G","")&amp;IF(TeamT[[#This Row],[Agility]]=2,"A","")&amp;IF(TeamT[[#This Row],[Strength]]=2,"S","")&amp;IF(TeamT[[#This Row],[Passing]]=2,"P","")&amp;IF(TeamT[[#This Row],[Mutation]]=2,"M","")</f>
        <v>P</v>
      </c>
      <c r="R34" s="212"/>
      <c r="S34" s="21">
        <v>3</v>
      </c>
      <c r="T34" s="21">
        <v>4</v>
      </c>
      <c r="U34" s="21">
        <v>8</v>
      </c>
      <c r="AA34" s="76" t="e">
        <f>HLOOKUP(Roster!$E$5,Team!$BL$2:$MK$128,33,FALSE)</f>
        <v>#N/A</v>
      </c>
      <c r="AB34" s="76" t="e">
        <f>HLOOKUP(Roster!$E$6,Team!$BL$2:$MK$128,33,FALSE)</f>
        <v>#N/A</v>
      </c>
      <c r="AC34" s="76" t="e">
        <f>HLOOKUP(Roster!$E$7,Team!$BL$2:$MK$128,33,FALSE)</f>
        <v>#N/A</v>
      </c>
      <c r="AD34" s="76" t="e">
        <f>HLOOKUP(Roster!$E$8,Team!$BL$2:$MK$128,33,FALSE)</f>
        <v>#N/A</v>
      </c>
      <c r="AE34" s="76" t="e">
        <f>HLOOKUP(Roster!$E$9,Team!$BL$2:$MK$128,33,FALSE)</f>
        <v>#N/A</v>
      </c>
      <c r="AF34" s="76" t="e">
        <f>HLOOKUP(Roster!$E$10,Team!$BL$2:$MK$128,33,FALSE)</f>
        <v>#N/A</v>
      </c>
      <c r="AG34" s="76" t="e">
        <f>HLOOKUP(Roster!$E$11,Team!$BL$2:$MK$128,33,FALSE)</f>
        <v>#N/A</v>
      </c>
      <c r="AH34" s="76" t="e">
        <f>HLOOKUP(Roster!$E$12,Team!$BL$2:$MK$128,33,FALSE)</f>
        <v>#N/A</v>
      </c>
      <c r="AI34" s="76" t="e">
        <f>HLOOKUP(Roster!$E$13,Team!$BL$2:$MK$128,33,FALSE)</f>
        <v>#N/A</v>
      </c>
      <c r="AJ34" s="76" t="e">
        <f>HLOOKUP(Roster!$E$14,Team!$BL$2:$MK$128,33,FALSE)</f>
        <v>#N/A</v>
      </c>
      <c r="AK34" s="76" t="e">
        <f>HLOOKUP(Roster!$E$15,Team!$BL$2:$MK$128,33,FALSE)</f>
        <v>#N/A</v>
      </c>
      <c r="AL34" s="76" t="e">
        <f>HLOOKUP(Roster!$E$16,Team!$BL$2:$MK$128,33,FALSE)</f>
        <v>#N/A</v>
      </c>
      <c r="AM34" s="76" t="e">
        <f>HLOOKUP(Roster!$E$17,Team!$BL$2:$MK$128,33,FALSE)</f>
        <v>#N/A</v>
      </c>
      <c r="AN34" s="76" t="e">
        <f>HLOOKUP(Roster!$E$18,Team!$BL$2:$MK$128,33,FALSE)</f>
        <v>#N/A</v>
      </c>
      <c r="AO34" s="76" t="e">
        <f>HLOOKUP(Roster!$E$19,Team!$BL$2:$MK$128,33,FALSE)</f>
        <v>#N/A</v>
      </c>
      <c r="AP34" s="76" t="e">
        <f>HLOOKUP(Roster!$E$20,Team!$BL$2:$MK$128,33,FALSE)</f>
        <v>#N/A</v>
      </c>
      <c r="AR34" s="108">
        <f t="shared" si="1"/>
        <v>0</v>
      </c>
      <c r="AS34" s="108">
        <f t="shared" si="2"/>
        <v>0</v>
      </c>
      <c r="AT34" s="108">
        <f t="shared" si="3"/>
        <v>0</v>
      </c>
      <c r="AU34" s="108">
        <f t="shared" si="4"/>
        <v>0</v>
      </c>
      <c r="AV34" s="108">
        <f t="shared" si="5"/>
        <v>0</v>
      </c>
      <c r="AW34" s="108">
        <f t="shared" si="6"/>
        <v>0</v>
      </c>
      <c r="AX34" s="108">
        <f t="shared" si="7"/>
        <v>0</v>
      </c>
      <c r="AY34" s="108">
        <f t="shared" si="8"/>
        <v>0</v>
      </c>
      <c r="AZ34" s="108">
        <f t="shared" si="9"/>
        <v>0</v>
      </c>
      <c r="BA34" s="108">
        <f t="shared" si="10"/>
        <v>0</v>
      </c>
      <c r="BB34" s="108">
        <f t="shared" si="11"/>
        <v>0</v>
      </c>
      <c r="BC34" s="108">
        <f t="shared" si="12"/>
        <v>0</v>
      </c>
      <c r="BD34" s="108">
        <f t="shared" si="13"/>
        <v>0</v>
      </c>
      <c r="BE34" s="108">
        <f t="shared" si="14"/>
        <v>0</v>
      </c>
      <c r="BF34" s="108">
        <f t="shared" si="15"/>
        <v>0</v>
      </c>
      <c r="BG34" s="108">
        <f t="shared" si="16"/>
        <v>0</v>
      </c>
      <c r="BL34" s="74" t="s">
        <v>259</v>
      </c>
      <c r="BM34" s="75" t="s">
        <v>232</v>
      </c>
      <c r="BN34" s="74" t="s">
        <v>259</v>
      </c>
      <c r="BO34" s="74" t="s">
        <v>259</v>
      </c>
      <c r="BP34" s="74" t="s">
        <v>259</v>
      </c>
      <c r="BQ34" s="75"/>
      <c r="BR34" s="75" t="s">
        <v>232</v>
      </c>
      <c r="BS34" s="75" t="s">
        <v>232</v>
      </c>
      <c r="BT34" s="75" t="s">
        <v>232</v>
      </c>
      <c r="BU34" s="75" t="s">
        <v>232</v>
      </c>
      <c r="BV34" s="75"/>
      <c r="BW34" s="81" t="s">
        <v>241</v>
      </c>
      <c r="BX34" s="81" t="s">
        <v>232</v>
      </c>
      <c r="BY34" s="81" t="s">
        <v>232</v>
      </c>
      <c r="BZ34" s="81" t="s">
        <v>232</v>
      </c>
      <c r="CA34" s="81" t="s">
        <v>232</v>
      </c>
      <c r="CB34" s="81" t="s">
        <v>241</v>
      </c>
      <c r="CC34" s="77"/>
      <c r="CD34" s="74" t="s">
        <v>259</v>
      </c>
      <c r="CE34" s="81" t="s">
        <v>232</v>
      </c>
      <c r="CF34" s="74" t="s">
        <v>259</v>
      </c>
      <c r="CG34" s="81" t="s">
        <v>232</v>
      </c>
      <c r="CH34" s="74" t="s">
        <v>259</v>
      </c>
      <c r="CI34" s="77"/>
      <c r="CJ34" s="81" t="s">
        <v>232</v>
      </c>
      <c r="CK34" s="81" t="s">
        <v>241</v>
      </c>
      <c r="CL34" s="81" t="s">
        <v>232</v>
      </c>
      <c r="CM34" s="81" t="s">
        <v>232</v>
      </c>
      <c r="CN34" s="81" t="s">
        <v>232</v>
      </c>
      <c r="CO34" s="81" t="s">
        <v>241</v>
      </c>
      <c r="CP34" s="81" t="s">
        <v>232</v>
      </c>
      <c r="CQ34" s="81" t="s">
        <v>232</v>
      </c>
      <c r="CR34" s="81" t="s">
        <v>232</v>
      </c>
      <c r="CS34" s="81" t="s">
        <v>232</v>
      </c>
      <c r="CT34" s="81" t="s">
        <v>232</v>
      </c>
      <c r="CU34" s="81"/>
      <c r="CV34" s="75" t="s">
        <v>232</v>
      </c>
      <c r="CW34" s="75" t="s">
        <v>232</v>
      </c>
      <c r="CX34" s="75" t="s">
        <v>232</v>
      </c>
      <c r="CY34" s="75" t="s">
        <v>232</v>
      </c>
      <c r="CZ34" s="75" t="s">
        <v>232</v>
      </c>
      <c r="DA34" s="81"/>
      <c r="DB34" s="74" t="s">
        <v>259</v>
      </c>
      <c r="DC34" s="75" t="s">
        <v>232</v>
      </c>
      <c r="DD34" s="75" t="s">
        <v>232</v>
      </c>
      <c r="DE34" s="75" t="s">
        <v>232</v>
      </c>
      <c r="DF34" s="75" t="s">
        <v>232</v>
      </c>
      <c r="DG34" s="74" t="s">
        <v>259</v>
      </c>
      <c r="DH34" s="74"/>
      <c r="DI34" s="74" t="s">
        <v>259</v>
      </c>
      <c r="DJ34" s="75" t="s">
        <v>232</v>
      </c>
      <c r="DK34" s="75" t="s">
        <v>232</v>
      </c>
      <c r="DL34" s="74" t="s">
        <v>259</v>
      </c>
      <c r="DM34" s="74" t="s">
        <v>259</v>
      </c>
      <c r="DN34" s="74" t="s">
        <v>259</v>
      </c>
      <c r="DO34" s="74"/>
      <c r="DP34" s="74" t="s">
        <v>259</v>
      </c>
      <c r="DQ34" s="75" t="s">
        <v>232</v>
      </c>
      <c r="DR34" s="74" t="s">
        <v>259</v>
      </c>
      <c r="DS34" s="75" t="s">
        <v>232</v>
      </c>
      <c r="DT34" s="74" t="s">
        <v>259</v>
      </c>
      <c r="DU34" s="74"/>
      <c r="DV34" s="75" t="s">
        <v>232</v>
      </c>
      <c r="DW34" s="75" t="s">
        <v>232</v>
      </c>
      <c r="DX34" s="74" t="s">
        <v>259</v>
      </c>
      <c r="DY34" s="74" t="s">
        <v>259</v>
      </c>
      <c r="DZ34" s="75" t="s">
        <v>232</v>
      </c>
      <c r="EA34" s="75" t="s">
        <v>232</v>
      </c>
      <c r="EB34" s="74" t="s">
        <v>259</v>
      </c>
      <c r="EC34" s="75" t="s">
        <v>232</v>
      </c>
      <c r="ED34" s="75" t="s">
        <v>232</v>
      </c>
      <c r="EE34" s="75"/>
      <c r="EF34" s="74" t="s">
        <v>259</v>
      </c>
      <c r="EG34" s="75" t="s">
        <v>232</v>
      </c>
      <c r="EH34" s="74" t="s">
        <v>259</v>
      </c>
      <c r="EI34" s="75" t="s">
        <v>232</v>
      </c>
      <c r="EJ34" s="74" t="s">
        <v>259</v>
      </c>
      <c r="EK34" s="74"/>
      <c r="EL34" s="75" t="s">
        <v>232</v>
      </c>
      <c r="EM34" s="75" t="s">
        <v>232</v>
      </c>
      <c r="EN34" s="74" t="s">
        <v>259</v>
      </c>
      <c r="EO34" s="75" t="s">
        <v>232</v>
      </c>
      <c r="EP34" s="75" t="s">
        <v>232</v>
      </c>
      <c r="EQ34" s="74"/>
      <c r="ER34" s="74" t="s">
        <v>259</v>
      </c>
      <c r="ES34" s="75" t="s">
        <v>232</v>
      </c>
      <c r="ET34" s="75" t="s">
        <v>232</v>
      </c>
      <c r="EU34" s="75" t="s">
        <v>232</v>
      </c>
      <c r="EV34" s="74" t="s">
        <v>259</v>
      </c>
      <c r="EW34" s="74" t="s">
        <v>259</v>
      </c>
      <c r="EX34" s="74" t="s">
        <v>259</v>
      </c>
      <c r="EY34" s="74"/>
      <c r="EZ34" s="74" t="s">
        <v>259</v>
      </c>
      <c r="FA34" s="75" t="s">
        <v>232</v>
      </c>
      <c r="FB34" s="75" t="s">
        <v>232</v>
      </c>
      <c r="FC34" s="74" t="s">
        <v>259</v>
      </c>
      <c r="FD34" s="74" t="s">
        <v>259</v>
      </c>
      <c r="FE34" s="74" t="s">
        <v>259</v>
      </c>
      <c r="FF34" s="74"/>
      <c r="FG34" s="81" t="s">
        <v>232</v>
      </c>
      <c r="FH34" s="81" t="s">
        <v>241</v>
      </c>
      <c r="FI34" s="81" t="s">
        <v>232</v>
      </c>
      <c r="FJ34" s="81" t="s">
        <v>232</v>
      </c>
      <c r="FK34" s="81" t="s">
        <v>232</v>
      </c>
      <c r="FL34" s="74"/>
      <c r="FM34" s="75" t="s">
        <v>232</v>
      </c>
      <c r="FN34" s="75" t="s">
        <v>232</v>
      </c>
      <c r="FO34" s="74" t="s">
        <v>259</v>
      </c>
      <c r="FP34" s="74" t="s">
        <v>259</v>
      </c>
      <c r="FQ34" s="75" t="s">
        <v>232</v>
      </c>
      <c r="FR34" s="75"/>
      <c r="FS34" s="74" t="s">
        <v>259</v>
      </c>
      <c r="FT34" s="75" t="s">
        <v>232</v>
      </c>
      <c r="FU34" s="74" t="s">
        <v>259</v>
      </c>
      <c r="FV34" s="75" t="s">
        <v>232</v>
      </c>
      <c r="FW34" s="74" t="s">
        <v>259</v>
      </c>
      <c r="FX34" s="74" t="s">
        <v>259</v>
      </c>
      <c r="FY34" s="74"/>
      <c r="FZ34" s="75" t="s">
        <v>232</v>
      </c>
      <c r="GA34" s="75"/>
      <c r="GB34" s="75" t="s">
        <v>232</v>
      </c>
      <c r="GC34" s="75" t="s">
        <v>232</v>
      </c>
      <c r="GD34" s="74" t="s">
        <v>259</v>
      </c>
      <c r="GE34" s="74" t="s">
        <v>259</v>
      </c>
      <c r="GF34" s="75" t="s">
        <v>232</v>
      </c>
      <c r="GG34" s="74"/>
      <c r="GH34" s="81" t="s">
        <v>232</v>
      </c>
      <c r="GI34" s="81" t="s">
        <v>241</v>
      </c>
      <c r="GJ34" s="81" t="s">
        <v>232</v>
      </c>
      <c r="GK34" s="81" t="s">
        <v>232</v>
      </c>
      <c r="GL34" s="81" t="s">
        <v>232</v>
      </c>
      <c r="GM34" s="81"/>
      <c r="GN34" s="81" t="s">
        <v>341</v>
      </c>
      <c r="GO34" s="75" t="s">
        <v>232</v>
      </c>
      <c r="GP34" s="75" t="s">
        <v>232</v>
      </c>
      <c r="GQ34" s="81" t="s">
        <v>341</v>
      </c>
      <c r="GR34" s="81"/>
      <c r="GS34" s="74" t="s">
        <v>259</v>
      </c>
      <c r="GT34" s="75" t="s">
        <v>232</v>
      </c>
      <c r="GU34" s="74" t="s">
        <v>259</v>
      </c>
      <c r="GV34" s="74" t="s">
        <v>259</v>
      </c>
      <c r="GW34" s="74" t="s">
        <v>259</v>
      </c>
      <c r="GX34" s="75" t="s">
        <v>232</v>
      </c>
      <c r="GY34" s="74" t="s">
        <v>259</v>
      </c>
      <c r="GZ34" s="74" t="s">
        <v>259</v>
      </c>
      <c r="HA34" s="74" t="s">
        <v>259</v>
      </c>
      <c r="HB34" s="74" t="s">
        <v>259</v>
      </c>
      <c r="HC34" s="75" t="s">
        <v>232</v>
      </c>
      <c r="HD34" s="74" t="s">
        <v>259</v>
      </c>
      <c r="HE34" s="74"/>
      <c r="HF34" s="74" t="s">
        <v>259</v>
      </c>
      <c r="HG34" s="75" t="s">
        <v>232</v>
      </c>
      <c r="HH34" s="75" t="s">
        <v>232</v>
      </c>
      <c r="HI34" s="74" t="s">
        <v>259</v>
      </c>
      <c r="HJ34" s="74" t="s">
        <v>259</v>
      </c>
      <c r="HK34" s="75" t="s">
        <v>232</v>
      </c>
      <c r="HL34" s="74" t="s">
        <v>259</v>
      </c>
      <c r="HM34" s="74"/>
      <c r="HN34" s="74" t="s">
        <v>259</v>
      </c>
      <c r="HO34" s="74" t="s">
        <v>259</v>
      </c>
      <c r="HP34" s="75" t="s">
        <v>232</v>
      </c>
      <c r="HQ34" s="75" t="s">
        <v>232</v>
      </c>
      <c r="HR34" s="74" t="s">
        <v>259</v>
      </c>
      <c r="HS34" s="74" t="s">
        <v>259</v>
      </c>
      <c r="HT34" s="74"/>
      <c r="HU34" s="74" t="s">
        <v>259</v>
      </c>
      <c r="HV34" s="75" t="s">
        <v>232</v>
      </c>
      <c r="HW34" s="74" t="s">
        <v>259</v>
      </c>
      <c r="HX34" s="74" t="s">
        <v>259</v>
      </c>
      <c r="HY34" s="74" t="s">
        <v>259</v>
      </c>
      <c r="HZ34" s="74" t="s">
        <v>259</v>
      </c>
      <c r="IA34" s="74"/>
      <c r="IB34" s="81" t="s">
        <v>232</v>
      </c>
      <c r="IC34" s="81" t="s">
        <v>241</v>
      </c>
      <c r="ID34" s="81" t="s">
        <v>241</v>
      </c>
      <c r="IE34" s="81" t="s">
        <v>241</v>
      </c>
      <c r="IF34" s="81" t="s">
        <v>232</v>
      </c>
      <c r="IG34" s="81" t="s">
        <v>232</v>
      </c>
      <c r="IH34" s="81"/>
      <c r="II34" s="75" t="s">
        <v>232</v>
      </c>
      <c r="IJ34" s="75" t="s">
        <v>232</v>
      </c>
      <c r="IK34" s="75" t="s">
        <v>232</v>
      </c>
      <c r="IL34" s="75" t="s">
        <v>232</v>
      </c>
      <c r="IM34" s="75" t="s">
        <v>232</v>
      </c>
      <c r="IN34" s="81"/>
      <c r="IO34" s="81" t="s">
        <v>341</v>
      </c>
      <c r="IP34" s="74" t="s">
        <v>259</v>
      </c>
      <c r="IQ34" s="81" t="s">
        <v>341</v>
      </c>
      <c r="IR34" s="81" t="s">
        <v>341</v>
      </c>
      <c r="IS34" s="74" t="s">
        <v>259</v>
      </c>
      <c r="IT34" s="75" t="s">
        <v>232</v>
      </c>
      <c r="IU34" s="81" t="s">
        <v>341</v>
      </c>
      <c r="IV34" s="81"/>
      <c r="IW34" s="74" t="s">
        <v>259</v>
      </c>
      <c r="IX34" s="74" t="s">
        <v>259</v>
      </c>
      <c r="IY34" s="75" t="s">
        <v>232</v>
      </c>
      <c r="IZ34" s="74" t="s">
        <v>259</v>
      </c>
      <c r="JA34" s="74" t="s">
        <v>259</v>
      </c>
      <c r="JB34" s="81"/>
      <c r="JC34" s="81" t="s">
        <v>232</v>
      </c>
      <c r="JD34" s="80" t="s">
        <v>259</v>
      </c>
      <c r="JE34" s="81" t="s">
        <v>232</v>
      </c>
      <c r="JF34" s="81" t="s">
        <v>241</v>
      </c>
      <c r="JG34" s="81" t="s">
        <v>241</v>
      </c>
      <c r="JH34" s="81" t="s">
        <v>241</v>
      </c>
      <c r="JI34" s="81" t="s">
        <v>241</v>
      </c>
      <c r="JJ34" s="81" t="s">
        <v>232</v>
      </c>
      <c r="JK34" s="81" t="s">
        <v>232</v>
      </c>
      <c r="JL34" s="81"/>
      <c r="JM34" s="74" t="s">
        <v>259</v>
      </c>
      <c r="JN34" s="75" t="s">
        <v>232</v>
      </c>
      <c r="JO34" s="74" t="s">
        <v>259</v>
      </c>
      <c r="JP34" s="81"/>
      <c r="JQ34" s="74" t="s">
        <v>259</v>
      </c>
      <c r="JR34" s="75" t="s">
        <v>232</v>
      </c>
      <c r="JS34" s="75" t="s">
        <v>232</v>
      </c>
      <c r="JT34" s="75" t="s">
        <v>232</v>
      </c>
      <c r="JU34" s="74" t="s">
        <v>259</v>
      </c>
      <c r="JV34" s="74" t="s">
        <v>259</v>
      </c>
    </row>
    <row r="35" spans="1:282" x14ac:dyDescent="0.15">
      <c r="A35" s="104" t="s">
        <v>652</v>
      </c>
      <c r="B35" s="6" t="s">
        <v>649</v>
      </c>
      <c r="C35" s="6">
        <v>90000</v>
      </c>
      <c r="D35" s="6">
        <v>2</v>
      </c>
      <c r="E35" s="6">
        <v>6</v>
      </c>
      <c r="F35" s="6">
        <v>3</v>
      </c>
      <c r="G35" s="6" t="s">
        <v>36</v>
      </c>
      <c r="H35" s="6" t="s">
        <v>40</v>
      </c>
      <c r="I35" s="6" t="s">
        <v>46</v>
      </c>
      <c r="J35" s="21" t="s">
        <v>699</v>
      </c>
      <c r="K35" s="21">
        <v>1</v>
      </c>
      <c r="L35" s="21">
        <v>2</v>
      </c>
      <c r="M35" s="21">
        <v>1</v>
      </c>
      <c r="N35" s="21">
        <v>2</v>
      </c>
      <c r="O35" s="21">
        <v>0</v>
      </c>
      <c r="P35" s="23" t="str">
        <f>IF(TeamT[[#This Row],[General]]+TeamT[[#This Row],[Agility]]+TeamT[[#This Row],[Strength]]+TeamT[[#This Row],[Passing]]+TeamT[[#This Row],[Mutation]]&gt;0,IF(TeamT[[#This Row],[General]]=1,"G","")&amp;IF(TeamT[[#This Row],[Agility]]=1,"A","")&amp;IF(TeamT[[#This Row],[Strength]]=1,"S","")&amp;IF(TeamT[[#This Row],[Passing]]=1,"P","")&amp;IF(TeamT[[#This Row],[Mutation]]=1,"M",""),"Star")</f>
        <v>GS</v>
      </c>
      <c r="Q35" s="23" t="str">
        <f>IF(TeamT[[#This Row],[General]]=2,"G","")&amp;IF(TeamT[[#This Row],[Agility]]=2,"A","")&amp;IF(TeamT[[#This Row],[Strength]]=2,"S","")&amp;IF(TeamT[[#This Row],[Passing]]=2,"P","")&amp;IF(TeamT[[#This Row],[Mutation]]=2,"M","")</f>
        <v>AP</v>
      </c>
      <c r="R35" s="212"/>
      <c r="S35" s="21">
        <v>3</v>
      </c>
      <c r="T35" s="21">
        <v>5</v>
      </c>
      <c r="U35" s="21">
        <v>9</v>
      </c>
      <c r="AA35" s="76" t="e">
        <f>HLOOKUP(Roster!$E$5,Team!$BL$2:$MK$128,34,FALSE)</f>
        <v>#N/A</v>
      </c>
      <c r="AB35" s="76" t="e">
        <f>HLOOKUP(Roster!$E$6,Team!$BL$2:$MK$128,34,FALSE)</f>
        <v>#N/A</v>
      </c>
      <c r="AC35" s="76" t="e">
        <f>HLOOKUP(Roster!$E$7,Team!$BL$2:$MK$128,34,FALSE)</f>
        <v>#N/A</v>
      </c>
      <c r="AD35" s="76" t="e">
        <f>HLOOKUP(Roster!$E$8,Team!$BL$2:$MK$128,34,FALSE)</f>
        <v>#N/A</v>
      </c>
      <c r="AE35" s="76" t="e">
        <f>HLOOKUP(Roster!$E$9,Team!$BL$2:$MK$128,34,FALSE)</f>
        <v>#N/A</v>
      </c>
      <c r="AF35" s="76" t="e">
        <f>HLOOKUP(Roster!$E$10,Team!$BL$2:$MK$128,34,FALSE)</f>
        <v>#N/A</v>
      </c>
      <c r="AG35" s="76" t="e">
        <f>HLOOKUP(Roster!$E$11,Team!$BL$2:$MK$128,34,FALSE)</f>
        <v>#N/A</v>
      </c>
      <c r="AH35" s="76" t="e">
        <f>HLOOKUP(Roster!$E$12,Team!$BL$2:$MK$128,34,FALSE)</f>
        <v>#N/A</v>
      </c>
      <c r="AI35" s="76" t="e">
        <f>HLOOKUP(Roster!$E$13,Team!$BL$2:$MK$128,34,FALSE)</f>
        <v>#N/A</v>
      </c>
      <c r="AJ35" s="76" t="e">
        <f>HLOOKUP(Roster!$E$14,Team!$BL$2:$MK$128,34,FALSE)</f>
        <v>#N/A</v>
      </c>
      <c r="AK35" s="76" t="e">
        <f>HLOOKUP(Roster!$E$15,Team!$BL$2:$MK$128,34,FALSE)</f>
        <v>#N/A</v>
      </c>
      <c r="AL35" s="76" t="e">
        <f>HLOOKUP(Roster!$E$16,Team!$BL$2:$MK$128,34,FALSE)</f>
        <v>#N/A</v>
      </c>
      <c r="AM35" s="76" t="e">
        <f>HLOOKUP(Roster!$E$17,Team!$BL$2:$MK$128,34,FALSE)</f>
        <v>#N/A</v>
      </c>
      <c r="AN35" s="76" t="e">
        <f>HLOOKUP(Roster!$E$18,Team!$BL$2:$MK$128,34,FALSE)</f>
        <v>#N/A</v>
      </c>
      <c r="AO35" s="76" t="e">
        <f>HLOOKUP(Roster!$E$19,Team!$BL$2:$MK$128,34,FALSE)</f>
        <v>#N/A</v>
      </c>
      <c r="AP35" s="76" t="e">
        <f>HLOOKUP(Roster!$E$20,Team!$BL$2:$MK$128,34,FALSE)</f>
        <v>#N/A</v>
      </c>
      <c r="AR35" s="108">
        <f t="shared" si="1"/>
        <v>0</v>
      </c>
      <c r="AS35" s="108">
        <f t="shared" si="2"/>
        <v>0</v>
      </c>
      <c r="AT35" s="108">
        <f t="shared" si="3"/>
        <v>0</v>
      </c>
      <c r="AU35" s="108">
        <f t="shared" si="4"/>
        <v>0</v>
      </c>
      <c r="AV35" s="108">
        <f t="shared" si="5"/>
        <v>0</v>
      </c>
      <c r="AW35" s="108">
        <f t="shared" si="6"/>
        <v>0</v>
      </c>
      <c r="AX35" s="108">
        <f t="shared" si="7"/>
        <v>0</v>
      </c>
      <c r="AY35" s="108">
        <f t="shared" si="8"/>
        <v>0</v>
      </c>
      <c r="AZ35" s="108">
        <f t="shared" si="9"/>
        <v>0</v>
      </c>
      <c r="BA35" s="108">
        <f t="shared" si="10"/>
        <v>0</v>
      </c>
      <c r="BB35" s="108">
        <f t="shared" si="11"/>
        <v>0</v>
      </c>
      <c r="BC35" s="108">
        <f t="shared" si="12"/>
        <v>0</v>
      </c>
      <c r="BD35" s="108">
        <f t="shared" si="13"/>
        <v>0</v>
      </c>
      <c r="BE35" s="108">
        <f t="shared" si="14"/>
        <v>0</v>
      </c>
      <c r="BF35" s="108">
        <f t="shared" si="15"/>
        <v>0</v>
      </c>
      <c r="BG35" s="108">
        <f t="shared" si="16"/>
        <v>0</v>
      </c>
      <c r="BL35" s="75" t="s">
        <v>225</v>
      </c>
      <c r="BM35" s="75" t="s">
        <v>262</v>
      </c>
      <c r="BN35" s="75" t="s">
        <v>225</v>
      </c>
      <c r="BO35" s="75" t="s">
        <v>225</v>
      </c>
      <c r="BP35" s="75" t="s">
        <v>225</v>
      </c>
      <c r="BQ35" s="75"/>
      <c r="BR35" s="75" t="s">
        <v>262</v>
      </c>
      <c r="BS35" s="75" t="s">
        <v>262</v>
      </c>
      <c r="BT35" s="75" t="s">
        <v>262</v>
      </c>
      <c r="BU35" s="75" t="s">
        <v>262</v>
      </c>
      <c r="BV35" s="75"/>
      <c r="BW35" s="81" t="s">
        <v>264</v>
      </c>
      <c r="BX35" s="81" t="s">
        <v>262</v>
      </c>
      <c r="BY35" s="81" t="s">
        <v>262</v>
      </c>
      <c r="BZ35" s="81" t="s">
        <v>262</v>
      </c>
      <c r="CA35" s="81" t="s">
        <v>262</v>
      </c>
      <c r="CB35" s="81" t="s">
        <v>264</v>
      </c>
      <c r="CC35" s="77"/>
      <c r="CD35" s="75" t="s">
        <v>225</v>
      </c>
      <c r="CE35" s="81" t="s">
        <v>262</v>
      </c>
      <c r="CF35" s="75" t="s">
        <v>225</v>
      </c>
      <c r="CG35" s="81" t="s">
        <v>262</v>
      </c>
      <c r="CH35" s="75" t="s">
        <v>225</v>
      </c>
      <c r="CI35" s="77"/>
      <c r="CJ35" s="81" t="s">
        <v>262</v>
      </c>
      <c r="CK35" s="81" t="s">
        <v>264</v>
      </c>
      <c r="CL35" s="81" t="s">
        <v>262</v>
      </c>
      <c r="CM35" s="81" t="s">
        <v>262</v>
      </c>
      <c r="CN35" s="81" t="s">
        <v>262</v>
      </c>
      <c r="CO35" s="81" t="s">
        <v>264</v>
      </c>
      <c r="CP35" s="81" t="s">
        <v>262</v>
      </c>
      <c r="CQ35" s="81" t="s">
        <v>262</v>
      </c>
      <c r="CR35" s="81" t="s">
        <v>262</v>
      </c>
      <c r="CS35" s="81" t="s">
        <v>262</v>
      </c>
      <c r="CT35" s="81" t="s">
        <v>262</v>
      </c>
      <c r="CU35" s="81"/>
      <c r="CV35" s="75" t="s">
        <v>262</v>
      </c>
      <c r="CW35" s="75" t="s">
        <v>262</v>
      </c>
      <c r="CX35" s="75" t="s">
        <v>262</v>
      </c>
      <c r="CY35" s="75" t="s">
        <v>262</v>
      </c>
      <c r="CZ35" s="75" t="s">
        <v>262</v>
      </c>
      <c r="DA35" s="81"/>
      <c r="DB35" s="75" t="s">
        <v>225</v>
      </c>
      <c r="DC35" s="75" t="s">
        <v>262</v>
      </c>
      <c r="DD35" s="75" t="s">
        <v>262</v>
      </c>
      <c r="DE35" s="75" t="s">
        <v>262</v>
      </c>
      <c r="DF35" s="75" t="s">
        <v>262</v>
      </c>
      <c r="DG35" s="75" t="s">
        <v>225</v>
      </c>
      <c r="DH35" s="75"/>
      <c r="DI35" s="75" t="s">
        <v>225</v>
      </c>
      <c r="DJ35" s="75" t="s">
        <v>262</v>
      </c>
      <c r="DK35" s="75" t="s">
        <v>262</v>
      </c>
      <c r="DL35" s="75" t="s">
        <v>225</v>
      </c>
      <c r="DM35" s="75" t="s">
        <v>225</v>
      </c>
      <c r="DN35" s="75" t="s">
        <v>225</v>
      </c>
      <c r="DO35" s="75"/>
      <c r="DP35" s="75" t="s">
        <v>225</v>
      </c>
      <c r="DQ35" s="75" t="s">
        <v>262</v>
      </c>
      <c r="DR35" s="75" t="s">
        <v>225</v>
      </c>
      <c r="DS35" s="75" t="s">
        <v>262</v>
      </c>
      <c r="DT35" s="75" t="s">
        <v>225</v>
      </c>
      <c r="DU35" s="75"/>
      <c r="DV35" s="75" t="s">
        <v>262</v>
      </c>
      <c r="DW35" s="75" t="s">
        <v>262</v>
      </c>
      <c r="DX35" s="75" t="s">
        <v>225</v>
      </c>
      <c r="DY35" s="75" t="s">
        <v>225</v>
      </c>
      <c r="DZ35" s="75" t="s">
        <v>262</v>
      </c>
      <c r="EA35" s="75" t="s">
        <v>262</v>
      </c>
      <c r="EB35" s="75" t="s">
        <v>225</v>
      </c>
      <c r="EC35" s="75" t="s">
        <v>262</v>
      </c>
      <c r="ED35" s="75" t="s">
        <v>262</v>
      </c>
      <c r="EE35" s="75"/>
      <c r="EF35" s="75" t="s">
        <v>225</v>
      </c>
      <c r="EG35" s="75" t="s">
        <v>262</v>
      </c>
      <c r="EH35" s="75" t="s">
        <v>225</v>
      </c>
      <c r="EI35" s="75" t="s">
        <v>262</v>
      </c>
      <c r="EJ35" s="75" t="s">
        <v>225</v>
      </c>
      <c r="EK35" s="75"/>
      <c r="EL35" s="75" t="s">
        <v>262</v>
      </c>
      <c r="EM35" s="75" t="s">
        <v>262</v>
      </c>
      <c r="EN35" s="75" t="s">
        <v>225</v>
      </c>
      <c r="EO35" s="75" t="s">
        <v>262</v>
      </c>
      <c r="EP35" s="75" t="s">
        <v>262</v>
      </c>
      <c r="EQ35" s="75"/>
      <c r="ER35" s="75" t="s">
        <v>225</v>
      </c>
      <c r="ES35" s="75" t="s">
        <v>262</v>
      </c>
      <c r="ET35" s="75" t="s">
        <v>262</v>
      </c>
      <c r="EU35" s="75" t="s">
        <v>262</v>
      </c>
      <c r="EV35" s="75" t="s">
        <v>225</v>
      </c>
      <c r="EW35" s="75" t="s">
        <v>225</v>
      </c>
      <c r="EX35" s="75" t="s">
        <v>225</v>
      </c>
      <c r="EY35" s="75"/>
      <c r="EZ35" s="75" t="s">
        <v>225</v>
      </c>
      <c r="FA35" s="75" t="s">
        <v>262</v>
      </c>
      <c r="FB35" s="75" t="s">
        <v>262</v>
      </c>
      <c r="FC35" s="75" t="s">
        <v>225</v>
      </c>
      <c r="FD35" s="75" t="s">
        <v>225</v>
      </c>
      <c r="FE35" s="75" t="s">
        <v>225</v>
      </c>
      <c r="FF35" s="75"/>
      <c r="FG35" s="81" t="s">
        <v>262</v>
      </c>
      <c r="FH35" s="81" t="s">
        <v>264</v>
      </c>
      <c r="FI35" s="81" t="s">
        <v>262</v>
      </c>
      <c r="FJ35" s="81" t="s">
        <v>262</v>
      </c>
      <c r="FK35" s="81" t="s">
        <v>262</v>
      </c>
      <c r="FL35" s="75"/>
      <c r="FM35" s="75" t="s">
        <v>262</v>
      </c>
      <c r="FN35" s="75" t="s">
        <v>262</v>
      </c>
      <c r="FO35" s="75" t="s">
        <v>225</v>
      </c>
      <c r="FP35" s="75" t="s">
        <v>225</v>
      </c>
      <c r="FQ35" s="75" t="s">
        <v>262</v>
      </c>
      <c r="FR35" s="75"/>
      <c r="FS35" s="75" t="s">
        <v>225</v>
      </c>
      <c r="FT35" s="75" t="s">
        <v>262</v>
      </c>
      <c r="FU35" s="75" t="s">
        <v>225</v>
      </c>
      <c r="FV35" s="75" t="s">
        <v>262</v>
      </c>
      <c r="FW35" s="75" t="s">
        <v>225</v>
      </c>
      <c r="FX35" s="75" t="s">
        <v>225</v>
      </c>
      <c r="FY35" s="75"/>
      <c r="FZ35" s="75" t="s">
        <v>262</v>
      </c>
      <c r="GA35" s="75"/>
      <c r="GB35" s="75" t="s">
        <v>262</v>
      </c>
      <c r="GC35" s="75" t="s">
        <v>262</v>
      </c>
      <c r="GD35" s="75" t="s">
        <v>225</v>
      </c>
      <c r="GE35" s="75" t="s">
        <v>225</v>
      </c>
      <c r="GF35" s="75" t="s">
        <v>262</v>
      </c>
      <c r="GG35" s="75"/>
      <c r="GH35" s="81" t="s">
        <v>262</v>
      </c>
      <c r="GI35" s="81" t="s">
        <v>264</v>
      </c>
      <c r="GJ35" s="81" t="s">
        <v>262</v>
      </c>
      <c r="GK35" s="81" t="s">
        <v>262</v>
      </c>
      <c r="GL35" s="81" t="s">
        <v>262</v>
      </c>
      <c r="GM35" s="81"/>
      <c r="GN35" s="81" t="s">
        <v>342</v>
      </c>
      <c r="GO35" s="75" t="s">
        <v>262</v>
      </c>
      <c r="GP35" s="75" t="s">
        <v>262</v>
      </c>
      <c r="GQ35" s="81" t="s">
        <v>342</v>
      </c>
      <c r="GR35" s="81"/>
      <c r="GS35" s="75" t="s">
        <v>225</v>
      </c>
      <c r="GT35" s="75" t="s">
        <v>262</v>
      </c>
      <c r="GU35" s="75" t="s">
        <v>225</v>
      </c>
      <c r="GV35" s="75" t="s">
        <v>225</v>
      </c>
      <c r="GW35" s="75" t="s">
        <v>225</v>
      </c>
      <c r="GX35" s="75" t="s">
        <v>262</v>
      </c>
      <c r="GY35" s="75" t="s">
        <v>225</v>
      </c>
      <c r="GZ35" s="75" t="s">
        <v>225</v>
      </c>
      <c r="HA35" s="75" t="s">
        <v>225</v>
      </c>
      <c r="HB35" s="75" t="s">
        <v>225</v>
      </c>
      <c r="HC35" s="75" t="s">
        <v>262</v>
      </c>
      <c r="HD35" s="75" t="s">
        <v>225</v>
      </c>
      <c r="HE35" s="75"/>
      <c r="HF35" s="75" t="s">
        <v>225</v>
      </c>
      <c r="HG35" s="75" t="s">
        <v>262</v>
      </c>
      <c r="HH35" s="75" t="s">
        <v>262</v>
      </c>
      <c r="HI35" s="75" t="s">
        <v>225</v>
      </c>
      <c r="HJ35" s="75" t="s">
        <v>225</v>
      </c>
      <c r="HK35" s="75" t="s">
        <v>262</v>
      </c>
      <c r="HL35" s="75" t="s">
        <v>225</v>
      </c>
      <c r="HM35" s="75"/>
      <c r="HN35" s="75" t="s">
        <v>225</v>
      </c>
      <c r="HO35" s="75" t="s">
        <v>225</v>
      </c>
      <c r="HP35" s="75" t="s">
        <v>262</v>
      </c>
      <c r="HQ35" s="75" t="s">
        <v>262</v>
      </c>
      <c r="HR35" s="75" t="s">
        <v>225</v>
      </c>
      <c r="HS35" s="75" t="s">
        <v>225</v>
      </c>
      <c r="HT35" s="75"/>
      <c r="HU35" s="75" t="s">
        <v>225</v>
      </c>
      <c r="HV35" s="75" t="s">
        <v>262</v>
      </c>
      <c r="HW35" s="75" t="s">
        <v>225</v>
      </c>
      <c r="HX35" s="75" t="s">
        <v>225</v>
      </c>
      <c r="HY35" s="75" t="s">
        <v>225</v>
      </c>
      <c r="HZ35" s="75" t="s">
        <v>225</v>
      </c>
      <c r="IA35" s="75"/>
      <c r="IB35" s="81" t="s">
        <v>262</v>
      </c>
      <c r="IC35" s="81" t="s">
        <v>264</v>
      </c>
      <c r="ID35" s="81" t="s">
        <v>264</v>
      </c>
      <c r="IE35" s="81" t="s">
        <v>264</v>
      </c>
      <c r="IF35" s="81" t="s">
        <v>262</v>
      </c>
      <c r="IG35" s="81" t="s">
        <v>262</v>
      </c>
      <c r="IH35" s="81"/>
      <c r="II35" s="75" t="s">
        <v>262</v>
      </c>
      <c r="IJ35" s="75" t="s">
        <v>262</v>
      </c>
      <c r="IK35" s="75" t="s">
        <v>262</v>
      </c>
      <c r="IL35" s="75" t="s">
        <v>262</v>
      </c>
      <c r="IM35" s="75" t="s">
        <v>262</v>
      </c>
      <c r="IN35" s="81"/>
      <c r="IO35" s="81" t="s">
        <v>342</v>
      </c>
      <c r="IP35" s="75" t="s">
        <v>225</v>
      </c>
      <c r="IQ35" s="81" t="s">
        <v>342</v>
      </c>
      <c r="IR35" s="81" t="s">
        <v>342</v>
      </c>
      <c r="IS35" s="75" t="s">
        <v>225</v>
      </c>
      <c r="IT35" s="75" t="s">
        <v>262</v>
      </c>
      <c r="IU35" s="81" t="s">
        <v>342</v>
      </c>
      <c r="IV35" s="81"/>
      <c r="IW35" s="75" t="s">
        <v>225</v>
      </c>
      <c r="IX35" s="75" t="s">
        <v>225</v>
      </c>
      <c r="IY35" s="75" t="s">
        <v>262</v>
      </c>
      <c r="IZ35" s="75" t="s">
        <v>225</v>
      </c>
      <c r="JA35" s="75" t="s">
        <v>225</v>
      </c>
      <c r="JB35" s="81"/>
      <c r="JC35" s="81" t="s">
        <v>262</v>
      </c>
      <c r="JD35" s="81" t="s">
        <v>225</v>
      </c>
      <c r="JE35" s="81" t="s">
        <v>262</v>
      </c>
      <c r="JF35" s="81" t="s">
        <v>264</v>
      </c>
      <c r="JG35" s="81" t="s">
        <v>264</v>
      </c>
      <c r="JH35" s="81" t="s">
        <v>264</v>
      </c>
      <c r="JI35" s="81" t="s">
        <v>264</v>
      </c>
      <c r="JJ35" s="81" t="s">
        <v>262</v>
      </c>
      <c r="JK35" s="81" t="s">
        <v>262</v>
      </c>
      <c r="JL35" s="81"/>
      <c r="JM35" s="75" t="s">
        <v>225</v>
      </c>
      <c r="JN35" s="75" t="s">
        <v>262</v>
      </c>
      <c r="JO35" s="75" t="s">
        <v>225</v>
      </c>
      <c r="JP35" s="81"/>
      <c r="JQ35" s="75" t="s">
        <v>225</v>
      </c>
      <c r="JR35" s="75" t="s">
        <v>262</v>
      </c>
      <c r="JS35" s="75" t="s">
        <v>262</v>
      </c>
      <c r="JT35" s="75" t="s">
        <v>262</v>
      </c>
      <c r="JU35" s="75" t="s">
        <v>225</v>
      </c>
      <c r="JV35" s="75" t="s">
        <v>225</v>
      </c>
    </row>
    <row r="36" spans="1:282" x14ac:dyDescent="0.15">
      <c r="A36" s="104" t="s">
        <v>653</v>
      </c>
      <c r="B36" s="6" t="s">
        <v>649</v>
      </c>
      <c r="C36" s="6">
        <v>180000</v>
      </c>
      <c r="D36" s="6">
        <v>1</v>
      </c>
      <c r="E36" s="6">
        <v>6</v>
      </c>
      <c r="F36" s="6">
        <v>5</v>
      </c>
      <c r="G36" s="6" t="s">
        <v>40</v>
      </c>
      <c r="H36" s="6" t="s">
        <v>53</v>
      </c>
      <c r="I36" s="6" t="s">
        <v>41</v>
      </c>
      <c r="J36" s="21" t="s">
        <v>729</v>
      </c>
      <c r="K36" s="21">
        <v>2</v>
      </c>
      <c r="L36" s="21">
        <v>2</v>
      </c>
      <c r="M36" s="21">
        <v>1</v>
      </c>
      <c r="N36" s="21">
        <v>2</v>
      </c>
      <c r="O36" s="21">
        <v>0</v>
      </c>
      <c r="P36" s="23" t="str">
        <f>IF(TeamT[[#This Row],[General]]+TeamT[[#This Row],[Agility]]+TeamT[[#This Row],[Strength]]+TeamT[[#This Row],[Passing]]+TeamT[[#This Row],[Mutation]]&gt;0,IF(TeamT[[#This Row],[General]]=1,"G","")&amp;IF(TeamT[[#This Row],[Agility]]=1,"A","")&amp;IF(TeamT[[#This Row],[Strength]]=1,"S","")&amp;IF(TeamT[[#This Row],[Passing]]=1,"P","")&amp;IF(TeamT[[#This Row],[Mutation]]=1,"M",""),"Star")</f>
        <v>S</v>
      </c>
      <c r="Q36" s="23" t="str">
        <f>IF(TeamT[[#This Row],[General]]=2,"G","")&amp;IF(TeamT[[#This Row],[Agility]]=2,"A","")&amp;IF(TeamT[[#This Row],[Strength]]=2,"S","")&amp;IF(TeamT[[#This Row],[Passing]]=2,"P","")&amp;IF(TeamT[[#This Row],[Mutation]]=2,"M","")</f>
        <v>GAP</v>
      </c>
      <c r="R36" s="212"/>
      <c r="S36" s="21">
        <v>5</v>
      </c>
      <c r="T36" s="21" t="s">
        <v>53</v>
      </c>
      <c r="U36" s="21">
        <v>10</v>
      </c>
      <c r="AA36" s="76" t="e">
        <f>HLOOKUP(Roster!$E$5,Team!$BL$2:$MK$128,35,FALSE)</f>
        <v>#N/A</v>
      </c>
      <c r="AB36" s="76" t="e">
        <f>HLOOKUP(Roster!$E$6,Team!$BL$2:$MK$128,35,FALSE)</f>
        <v>#N/A</v>
      </c>
      <c r="AC36" s="76" t="e">
        <f>HLOOKUP(Roster!$E$7,Team!$BL$2:$MK$128,35,FALSE)</f>
        <v>#N/A</v>
      </c>
      <c r="AD36" s="76" t="e">
        <f>HLOOKUP(Roster!$E$8,Team!$BL$2:$MK$128,35,FALSE)</f>
        <v>#N/A</v>
      </c>
      <c r="AE36" s="76" t="e">
        <f>HLOOKUP(Roster!$E$9,Team!$BL$2:$MK$128,35,FALSE)</f>
        <v>#N/A</v>
      </c>
      <c r="AF36" s="76" t="e">
        <f>HLOOKUP(Roster!$E$10,Team!$BL$2:$MK$128,35,FALSE)</f>
        <v>#N/A</v>
      </c>
      <c r="AG36" s="76" t="e">
        <f>HLOOKUP(Roster!$E$11,Team!$BL$2:$MK$128,35,FALSE)</f>
        <v>#N/A</v>
      </c>
      <c r="AH36" s="76" t="e">
        <f>HLOOKUP(Roster!$E$12,Team!$BL$2:$MK$128,35,FALSE)</f>
        <v>#N/A</v>
      </c>
      <c r="AI36" s="76" t="e">
        <f>HLOOKUP(Roster!$E$13,Team!$BL$2:$MK$128,35,FALSE)</f>
        <v>#N/A</v>
      </c>
      <c r="AJ36" s="76" t="e">
        <f>HLOOKUP(Roster!$E$14,Team!$BL$2:$MK$128,35,FALSE)</f>
        <v>#N/A</v>
      </c>
      <c r="AK36" s="76" t="e">
        <f>HLOOKUP(Roster!$E$15,Team!$BL$2:$MK$128,35,FALSE)</f>
        <v>#N/A</v>
      </c>
      <c r="AL36" s="76" t="e">
        <f>HLOOKUP(Roster!$E$16,Team!$BL$2:$MK$128,35,FALSE)</f>
        <v>#N/A</v>
      </c>
      <c r="AM36" s="76" t="e">
        <f>HLOOKUP(Roster!$E$17,Team!$BL$2:$MK$128,35,FALSE)</f>
        <v>#N/A</v>
      </c>
      <c r="AN36" s="76" t="e">
        <f>HLOOKUP(Roster!$E$18,Team!$BL$2:$MK$128,35,FALSE)</f>
        <v>#N/A</v>
      </c>
      <c r="AO36" s="76" t="e">
        <f>HLOOKUP(Roster!$E$19,Team!$BL$2:$MK$128,35,FALSE)</f>
        <v>#N/A</v>
      </c>
      <c r="AP36" s="76" t="e">
        <f>HLOOKUP(Roster!$E$20,Team!$BL$2:$MK$128,35,FALSE)</f>
        <v>#N/A</v>
      </c>
      <c r="AR36" s="108">
        <f t="shared" si="1"/>
        <v>0</v>
      </c>
      <c r="AS36" s="108">
        <f t="shared" si="2"/>
        <v>0</v>
      </c>
      <c r="AT36" s="108">
        <f t="shared" si="3"/>
        <v>0</v>
      </c>
      <c r="AU36" s="108">
        <f t="shared" si="4"/>
        <v>0</v>
      </c>
      <c r="AV36" s="108">
        <f t="shared" si="5"/>
        <v>0</v>
      </c>
      <c r="AW36" s="108">
        <f t="shared" si="6"/>
        <v>0</v>
      </c>
      <c r="AX36" s="108">
        <f t="shared" si="7"/>
        <v>0</v>
      </c>
      <c r="AY36" s="108">
        <f t="shared" si="8"/>
        <v>0</v>
      </c>
      <c r="AZ36" s="108">
        <f t="shared" si="9"/>
        <v>0</v>
      </c>
      <c r="BA36" s="108">
        <f t="shared" si="10"/>
        <v>0</v>
      </c>
      <c r="BB36" s="108">
        <f t="shared" si="11"/>
        <v>0</v>
      </c>
      <c r="BC36" s="108">
        <f t="shared" si="12"/>
        <v>0</v>
      </c>
      <c r="BD36" s="108">
        <f t="shared" si="13"/>
        <v>0</v>
      </c>
      <c r="BE36" s="108">
        <f t="shared" si="14"/>
        <v>0</v>
      </c>
      <c r="BF36" s="108">
        <f t="shared" si="15"/>
        <v>0</v>
      </c>
      <c r="BG36" s="108">
        <f t="shared" si="16"/>
        <v>0</v>
      </c>
      <c r="BL36" s="75" t="s">
        <v>226</v>
      </c>
      <c r="BM36" s="75" t="s">
        <v>117</v>
      </c>
      <c r="BN36" s="75" t="s">
        <v>226</v>
      </c>
      <c r="BO36" s="75" t="s">
        <v>226</v>
      </c>
      <c r="BP36" s="75" t="s">
        <v>226</v>
      </c>
      <c r="BQ36" s="75"/>
      <c r="BR36" s="75" t="s">
        <v>117</v>
      </c>
      <c r="BS36" s="75" t="s">
        <v>117</v>
      </c>
      <c r="BT36" s="75" t="s">
        <v>117</v>
      </c>
      <c r="BU36" s="75" t="s">
        <v>117</v>
      </c>
      <c r="BV36" s="75"/>
      <c r="BW36" s="81" t="s">
        <v>242</v>
      </c>
      <c r="BX36" s="81" t="s">
        <v>117</v>
      </c>
      <c r="BY36" s="81" t="s">
        <v>117</v>
      </c>
      <c r="BZ36" s="81" t="s">
        <v>117</v>
      </c>
      <c r="CA36" s="81" t="s">
        <v>117</v>
      </c>
      <c r="CB36" s="81" t="s">
        <v>242</v>
      </c>
      <c r="CC36" s="77"/>
      <c r="CD36" s="75" t="s">
        <v>226</v>
      </c>
      <c r="CE36" s="81" t="s">
        <v>117</v>
      </c>
      <c r="CF36" s="75" t="s">
        <v>226</v>
      </c>
      <c r="CG36" s="81" t="s">
        <v>117</v>
      </c>
      <c r="CH36" s="75" t="s">
        <v>226</v>
      </c>
      <c r="CI36" s="77"/>
      <c r="CJ36" s="81" t="s">
        <v>117</v>
      </c>
      <c r="CK36" s="81" t="s">
        <v>242</v>
      </c>
      <c r="CL36" s="81" t="s">
        <v>117</v>
      </c>
      <c r="CM36" s="81" t="s">
        <v>117</v>
      </c>
      <c r="CN36" s="81" t="s">
        <v>117</v>
      </c>
      <c r="CO36" s="81" t="s">
        <v>242</v>
      </c>
      <c r="CP36" s="81" t="s">
        <v>117</v>
      </c>
      <c r="CQ36" s="81" t="s">
        <v>117</v>
      </c>
      <c r="CR36" s="81" t="s">
        <v>117</v>
      </c>
      <c r="CS36" s="81" t="s">
        <v>117</v>
      </c>
      <c r="CT36" s="81" t="s">
        <v>117</v>
      </c>
      <c r="CU36" s="81"/>
      <c r="CV36" s="75" t="s">
        <v>117</v>
      </c>
      <c r="CW36" s="75" t="s">
        <v>117</v>
      </c>
      <c r="CX36" s="75" t="s">
        <v>117</v>
      </c>
      <c r="CY36" s="75" t="s">
        <v>117</v>
      </c>
      <c r="CZ36" s="75" t="s">
        <v>117</v>
      </c>
      <c r="DA36" s="81"/>
      <c r="DB36" s="75" t="s">
        <v>226</v>
      </c>
      <c r="DC36" s="75" t="s">
        <v>117</v>
      </c>
      <c r="DD36" s="75" t="s">
        <v>117</v>
      </c>
      <c r="DE36" s="75" t="s">
        <v>117</v>
      </c>
      <c r="DF36" s="75" t="s">
        <v>117</v>
      </c>
      <c r="DG36" s="75" t="s">
        <v>226</v>
      </c>
      <c r="DH36" s="75"/>
      <c r="DI36" s="75" t="s">
        <v>226</v>
      </c>
      <c r="DJ36" s="75" t="s">
        <v>117</v>
      </c>
      <c r="DK36" s="75" t="s">
        <v>117</v>
      </c>
      <c r="DL36" s="75" t="s">
        <v>226</v>
      </c>
      <c r="DM36" s="75" t="s">
        <v>226</v>
      </c>
      <c r="DN36" s="75" t="s">
        <v>226</v>
      </c>
      <c r="DO36" s="75"/>
      <c r="DP36" s="75" t="s">
        <v>226</v>
      </c>
      <c r="DQ36" s="75" t="s">
        <v>117</v>
      </c>
      <c r="DR36" s="75" t="s">
        <v>226</v>
      </c>
      <c r="DS36" s="75" t="s">
        <v>117</v>
      </c>
      <c r="DT36" s="75" t="s">
        <v>226</v>
      </c>
      <c r="DU36" s="75"/>
      <c r="DV36" s="75" t="s">
        <v>117</v>
      </c>
      <c r="DW36" s="75" t="s">
        <v>117</v>
      </c>
      <c r="DX36" s="75" t="s">
        <v>226</v>
      </c>
      <c r="DY36" s="75" t="s">
        <v>226</v>
      </c>
      <c r="DZ36" s="75" t="s">
        <v>117</v>
      </c>
      <c r="EA36" s="75" t="s">
        <v>117</v>
      </c>
      <c r="EB36" s="75" t="s">
        <v>226</v>
      </c>
      <c r="EC36" s="75" t="s">
        <v>117</v>
      </c>
      <c r="ED36" s="75" t="s">
        <v>117</v>
      </c>
      <c r="EE36" s="75"/>
      <c r="EF36" s="75" t="s">
        <v>226</v>
      </c>
      <c r="EG36" s="75" t="s">
        <v>117</v>
      </c>
      <c r="EH36" s="75" t="s">
        <v>226</v>
      </c>
      <c r="EI36" s="75" t="s">
        <v>117</v>
      </c>
      <c r="EJ36" s="75" t="s">
        <v>226</v>
      </c>
      <c r="EK36" s="75"/>
      <c r="EL36" s="75" t="s">
        <v>117</v>
      </c>
      <c r="EM36" s="75" t="s">
        <v>117</v>
      </c>
      <c r="EN36" s="75" t="s">
        <v>226</v>
      </c>
      <c r="EO36" s="75" t="s">
        <v>117</v>
      </c>
      <c r="EP36" s="75" t="s">
        <v>117</v>
      </c>
      <c r="EQ36" s="75"/>
      <c r="ER36" s="75" t="s">
        <v>226</v>
      </c>
      <c r="ES36" s="75" t="s">
        <v>117</v>
      </c>
      <c r="ET36" s="75" t="s">
        <v>117</v>
      </c>
      <c r="EU36" s="75" t="s">
        <v>117</v>
      </c>
      <c r="EV36" s="75" t="s">
        <v>226</v>
      </c>
      <c r="EW36" s="75" t="s">
        <v>226</v>
      </c>
      <c r="EX36" s="75" t="s">
        <v>226</v>
      </c>
      <c r="EY36" s="75"/>
      <c r="EZ36" s="75" t="s">
        <v>226</v>
      </c>
      <c r="FA36" s="75" t="s">
        <v>117</v>
      </c>
      <c r="FB36" s="75" t="s">
        <v>117</v>
      </c>
      <c r="FC36" s="75" t="s">
        <v>226</v>
      </c>
      <c r="FD36" s="75" t="s">
        <v>226</v>
      </c>
      <c r="FE36" s="75" t="s">
        <v>226</v>
      </c>
      <c r="FF36" s="75"/>
      <c r="FG36" s="81" t="s">
        <v>117</v>
      </c>
      <c r="FH36" s="81" t="s">
        <v>242</v>
      </c>
      <c r="FI36" s="81" t="s">
        <v>117</v>
      </c>
      <c r="FJ36" s="81" t="s">
        <v>117</v>
      </c>
      <c r="FK36" s="81" t="s">
        <v>117</v>
      </c>
      <c r="FL36" s="75"/>
      <c r="FM36" s="75" t="s">
        <v>117</v>
      </c>
      <c r="FN36" s="75" t="s">
        <v>117</v>
      </c>
      <c r="FO36" s="75" t="s">
        <v>226</v>
      </c>
      <c r="FP36" s="75" t="s">
        <v>226</v>
      </c>
      <c r="FQ36" s="75" t="s">
        <v>117</v>
      </c>
      <c r="FR36" s="75"/>
      <c r="FS36" s="75" t="s">
        <v>226</v>
      </c>
      <c r="FT36" s="75" t="s">
        <v>117</v>
      </c>
      <c r="FU36" s="75" t="s">
        <v>226</v>
      </c>
      <c r="FV36" s="75" t="s">
        <v>117</v>
      </c>
      <c r="FW36" s="75" t="s">
        <v>226</v>
      </c>
      <c r="FX36" s="75" t="s">
        <v>226</v>
      </c>
      <c r="FY36" s="75"/>
      <c r="FZ36" s="75" t="s">
        <v>117</v>
      </c>
      <c r="GA36" s="75"/>
      <c r="GB36" s="75" t="s">
        <v>117</v>
      </c>
      <c r="GC36" s="75" t="s">
        <v>117</v>
      </c>
      <c r="GD36" s="75" t="s">
        <v>226</v>
      </c>
      <c r="GE36" s="75" t="s">
        <v>226</v>
      </c>
      <c r="GF36" s="75" t="s">
        <v>117</v>
      </c>
      <c r="GG36" s="75"/>
      <c r="GH36" s="81" t="s">
        <v>117</v>
      </c>
      <c r="GI36" s="81" t="s">
        <v>242</v>
      </c>
      <c r="GJ36" s="81" t="s">
        <v>117</v>
      </c>
      <c r="GK36" s="81" t="s">
        <v>117</v>
      </c>
      <c r="GL36" s="81" t="s">
        <v>117</v>
      </c>
      <c r="GM36" s="81"/>
      <c r="GN36" s="81" t="s">
        <v>343</v>
      </c>
      <c r="GO36" s="75" t="s">
        <v>117</v>
      </c>
      <c r="GP36" s="75" t="s">
        <v>117</v>
      </c>
      <c r="GQ36" s="81" t="s">
        <v>343</v>
      </c>
      <c r="GR36" s="81"/>
      <c r="GS36" s="75" t="s">
        <v>226</v>
      </c>
      <c r="GT36" s="75" t="s">
        <v>117</v>
      </c>
      <c r="GU36" s="75" t="s">
        <v>226</v>
      </c>
      <c r="GV36" s="75" t="s">
        <v>226</v>
      </c>
      <c r="GW36" s="75" t="s">
        <v>226</v>
      </c>
      <c r="GX36" s="75" t="s">
        <v>117</v>
      </c>
      <c r="GY36" s="75" t="s">
        <v>226</v>
      </c>
      <c r="GZ36" s="75" t="s">
        <v>226</v>
      </c>
      <c r="HA36" s="75" t="s">
        <v>226</v>
      </c>
      <c r="HB36" s="75" t="s">
        <v>226</v>
      </c>
      <c r="HC36" s="75" t="s">
        <v>117</v>
      </c>
      <c r="HD36" s="75" t="s">
        <v>226</v>
      </c>
      <c r="HE36" s="75"/>
      <c r="HF36" s="75" t="s">
        <v>226</v>
      </c>
      <c r="HG36" s="75" t="s">
        <v>117</v>
      </c>
      <c r="HH36" s="75" t="s">
        <v>117</v>
      </c>
      <c r="HI36" s="75" t="s">
        <v>226</v>
      </c>
      <c r="HJ36" s="75" t="s">
        <v>226</v>
      </c>
      <c r="HK36" s="75" t="s">
        <v>117</v>
      </c>
      <c r="HL36" s="75" t="s">
        <v>226</v>
      </c>
      <c r="HM36" s="75"/>
      <c r="HN36" s="75" t="s">
        <v>226</v>
      </c>
      <c r="HO36" s="75" t="s">
        <v>226</v>
      </c>
      <c r="HP36" s="75" t="s">
        <v>117</v>
      </c>
      <c r="HQ36" s="75" t="s">
        <v>117</v>
      </c>
      <c r="HR36" s="75" t="s">
        <v>226</v>
      </c>
      <c r="HS36" s="75" t="s">
        <v>226</v>
      </c>
      <c r="HT36" s="75"/>
      <c r="HU36" s="75" t="s">
        <v>226</v>
      </c>
      <c r="HV36" s="75" t="s">
        <v>117</v>
      </c>
      <c r="HW36" s="75" t="s">
        <v>226</v>
      </c>
      <c r="HX36" s="75" t="s">
        <v>226</v>
      </c>
      <c r="HY36" s="75" t="s">
        <v>226</v>
      </c>
      <c r="HZ36" s="75" t="s">
        <v>226</v>
      </c>
      <c r="IA36" s="75"/>
      <c r="IB36" s="81" t="s">
        <v>117</v>
      </c>
      <c r="IC36" s="81" t="s">
        <v>242</v>
      </c>
      <c r="ID36" s="81" t="s">
        <v>242</v>
      </c>
      <c r="IE36" s="81" t="s">
        <v>242</v>
      </c>
      <c r="IF36" s="81" t="s">
        <v>117</v>
      </c>
      <c r="IG36" s="81" t="s">
        <v>117</v>
      </c>
      <c r="IH36" s="81"/>
      <c r="II36" s="75" t="s">
        <v>117</v>
      </c>
      <c r="IJ36" s="75" t="s">
        <v>117</v>
      </c>
      <c r="IK36" s="75" t="s">
        <v>117</v>
      </c>
      <c r="IL36" s="75" t="s">
        <v>117</v>
      </c>
      <c r="IM36" s="75" t="s">
        <v>117</v>
      </c>
      <c r="IN36" s="81"/>
      <c r="IO36" s="81" t="s">
        <v>343</v>
      </c>
      <c r="IP36" s="75" t="s">
        <v>226</v>
      </c>
      <c r="IQ36" s="81" t="s">
        <v>343</v>
      </c>
      <c r="IR36" s="81" t="s">
        <v>343</v>
      </c>
      <c r="IS36" s="75" t="s">
        <v>226</v>
      </c>
      <c r="IT36" s="75" t="s">
        <v>117</v>
      </c>
      <c r="IU36" s="81" t="s">
        <v>343</v>
      </c>
      <c r="IV36" s="81"/>
      <c r="IW36" s="75" t="s">
        <v>226</v>
      </c>
      <c r="IX36" s="75" t="s">
        <v>226</v>
      </c>
      <c r="IY36" s="75" t="s">
        <v>117</v>
      </c>
      <c r="IZ36" s="75" t="s">
        <v>226</v>
      </c>
      <c r="JA36" s="75" t="s">
        <v>226</v>
      </c>
      <c r="JB36" s="81"/>
      <c r="JC36" s="81" t="s">
        <v>117</v>
      </c>
      <c r="JD36" s="81" t="s">
        <v>226</v>
      </c>
      <c r="JE36" s="81" t="s">
        <v>117</v>
      </c>
      <c r="JF36" s="81" t="s">
        <v>242</v>
      </c>
      <c r="JG36" s="81" t="s">
        <v>242</v>
      </c>
      <c r="JH36" s="81" t="s">
        <v>242</v>
      </c>
      <c r="JI36" s="81" t="s">
        <v>242</v>
      </c>
      <c r="JJ36" s="81" t="s">
        <v>117</v>
      </c>
      <c r="JK36" s="81" t="s">
        <v>117</v>
      </c>
      <c r="JL36" s="81"/>
      <c r="JM36" s="75" t="s">
        <v>226</v>
      </c>
      <c r="JN36" s="75" t="s">
        <v>117</v>
      </c>
      <c r="JO36" s="75" t="s">
        <v>226</v>
      </c>
      <c r="JP36" s="81"/>
      <c r="JQ36" s="75" t="s">
        <v>226</v>
      </c>
      <c r="JR36" s="75" t="s">
        <v>117</v>
      </c>
      <c r="JS36" s="75" t="s">
        <v>117</v>
      </c>
      <c r="JT36" s="75" t="s">
        <v>117</v>
      </c>
      <c r="JU36" s="75" t="s">
        <v>226</v>
      </c>
      <c r="JV36" s="75" t="s">
        <v>226</v>
      </c>
    </row>
    <row r="37" spans="1:282" x14ac:dyDescent="0.15">
      <c r="A37" s="104" t="s">
        <v>654</v>
      </c>
      <c r="B37" s="6" t="s">
        <v>649</v>
      </c>
      <c r="C37" s="6">
        <v>60000</v>
      </c>
      <c r="D37" s="6">
        <v>11</v>
      </c>
      <c r="E37" s="6">
        <v>6</v>
      </c>
      <c r="F37" s="6">
        <v>3</v>
      </c>
      <c r="G37" s="6" t="s">
        <v>36</v>
      </c>
      <c r="H37" s="6" t="s">
        <v>37</v>
      </c>
      <c r="I37" s="6" t="s">
        <v>46</v>
      </c>
      <c r="J37" s="21" t="s">
        <v>697</v>
      </c>
      <c r="K37" s="21">
        <v>1</v>
      </c>
      <c r="L37" s="21">
        <v>2</v>
      </c>
      <c r="M37" s="21">
        <v>2</v>
      </c>
      <c r="N37" s="21">
        <v>2</v>
      </c>
      <c r="O37" s="21">
        <v>0</v>
      </c>
      <c r="P37" s="23" t="str">
        <f>IF(TeamT[[#This Row],[General]]+TeamT[[#This Row],[Agility]]+TeamT[[#This Row],[Strength]]+TeamT[[#This Row],[Passing]]+TeamT[[#This Row],[Mutation]]&gt;0,IF(TeamT[[#This Row],[General]]=1,"G","")&amp;IF(TeamT[[#This Row],[Agility]]=1,"A","")&amp;IF(TeamT[[#This Row],[Strength]]=1,"S","")&amp;IF(TeamT[[#This Row],[Passing]]=1,"P","")&amp;IF(TeamT[[#This Row],[Mutation]]=1,"M",""),"Star")</f>
        <v>G</v>
      </c>
      <c r="Q37" s="23" t="str">
        <f>IF(TeamT[[#This Row],[General]]=2,"G","")&amp;IF(TeamT[[#This Row],[Agility]]=2,"A","")&amp;IF(TeamT[[#This Row],[Strength]]=2,"S","")&amp;IF(TeamT[[#This Row],[Passing]]=2,"P","")&amp;IF(TeamT[[#This Row],[Mutation]]=2,"M","")</f>
        <v>ASP</v>
      </c>
      <c r="R37" s="212"/>
      <c r="S37" s="21">
        <v>3</v>
      </c>
      <c r="T37" s="21">
        <v>4</v>
      </c>
      <c r="U37" s="21">
        <v>9</v>
      </c>
      <c r="AA37" s="76" t="e">
        <f>HLOOKUP(Roster!$E$5,Team!$BL$2:$MK$128,36,FALSE)</f>
        <v>#N/A</v>
      </c>
      <c r="AB37" s="76" t="e">
        <f>HLOOKUP(Roster!$E$6,Team!$BL$2:$MK$128,36,FALSE)</f>
        <v>#N/A</v>
      </c>
      <c r="AC37" s="76" t="e">
        <f>HLOOKUP(Roster!$E$7,Team!$BL$2:$MK$128,36,FALSE)</f>
        <v>#N/A</v>
      </c>
      <c r="AD37" s="76" t="e">
        <f>HLOOKUP(Roster!$E$8,Team!$BL$2:$MK$128,36,FALSE)</f>
        <v>#N/A</v>
      </c>
      <c r="AE37" s="76" t="e">
        <f>HLOOKUP(Roster!$E$9,Team!$BL$2:$MK$128,36,FALSE)</f>
        <v>#N/A</v>
      </c>
      <c r="AF37" s="76" t="e">
        <f>HLOOKUP(Roster!$E$10,Team!$BL$2:$MK$128,36,FALSE)</f>
        <v>#N/A</v>
      </c>
      <c r="AG37" s="76" t="e">
        <f>HLOOKUP(Roster!$E$11,Team!$BL$2:$MK$128,36,FALSE)</f>
        <v>#N/A</v>
      </c>
      <c r="AH37" s="76" t="e">
        <f>HLOOKUP(Roster!$E$12,Team!$BL$2:$MK$128,36,FALSE)</f>
        <v>#N/A</v>
      </c>
      <c r="AI37" s="76" t="e">
        <f>HLOOKUP(Roster!$E$13,Team!$BL$2:$MK$128,36,FALSE)</f>
        <v>#N/A</v>
      </c>
      <c r="AJ37" s="76" t="e">
        <f>HLOOKUP(Roster!$E$14,Team!$BL$2:$MK$128,36,FALSE)</f>
        <v>#N/A</v>
      </c>
      <c r="AK37" s="76" t="e">
        <f>HLOOKUP(Roster!$E$15,Team!$BL$2:$MK$128,36,FALSE)</f>
        <v>#N/A</v>
      </c>
      <c r="AL37" s="76" t="e">
        <f>HLOOKUP(Roster!$E$16,Team!$BL$2:$MK$128,36,FALSE)</f>
        <v>#N/A</v>
      </c>
      <c r="AM37" s="76" t="e">
        <f>HLOOKUP(Roster!$E$17,Team!$BL$2:$MK$128,36,FALSE)</f>
        <v>#N/A</v>
      </c>
      <c r="AN37" s="76" t="e">
        <f>HLOOKUP(Roster!$E$18,Team!$BL$2:$MK$128,36,FALSE)</f>
        <v>#N/A</v>
      </c>
      <c r="AO37" s="76" t="e">
        <f>HLOOKUP(Roster!$E$19,Team!$BL$2:$MK$128,36,FALSE)</f>
        <v>#N/A</v>
      </c>
      <c r="AP37" s="76" t="e">
        <f>HLOOKUP(Roster!$E$20,Team!$BL$2:$MK$128,36,FALSE)</f>
        <v>#N/A</v>
      </c>
      <c r="AR37" s="108">
        <f t="shared" si="1"/>
        <v>0</v>
      </c>
      <c r="AS37" s="108">
        <f t="shared" si="2"/>
        <v>0</v>
      </c>
      <c r="AT37" s="108">
        <f t="shared" si="3"/>
        <v>0</v>
      </c>
      <c r="AU37" s="108">
        <f t="shared" si="4"/>
        <v>0</v>
      </c>
      <c r="AV37" s="108">
        <f t="shared" si="5"/>
        <v>0</v>
      </c>
      <c r="AW37" s="108">
        <f t="shared" si="6"/>
        <v>0</v>
      </c>
      <c r="AX37" s="108">
        <f t="shared" si="7"/>
        <v>0</v>
      </c>
      <c r="AY37" s="108">
        <f t="shared" si="8"/>
        <v>0</v>
      </c>
      <c r="AZ37" s="108">
        <f t="shared" si="9"/>
        <v>0</v>
      </c>
      <c r="BA37" s="108">
        <f t="shared" si="10"/>
        <v>0</v>
      </c>
      <c r="BB37" s="108">
        <f t="shared" si="11"/>
        <v>0</v>
      </c>
      <c r="BC37" s="108">
        <f t="shared" si="12"/>
        <v>0</v>
      </c>
      <c r="BD37" s="108">
        <f t="shared" si="13"/>
        <v>0</v>
      </c>
      <c r="BE37" s="108">
        <f t="shared" si="14"/>
        <v>0</v>
      </c>
      <c r="BF37" s="108">
        <f t="shared" si="15"/>
        <v>0</v>
      </c>
      <c r="BG37" s="108">
        <f t="shared" si="16"/>
        <v>0</v>
      </c>
      <c r="BL37" s="75" t="s">
        <v>134</v>
      </c>
      <c r="BM37" s="75" t="s">
        <v>263</v>
      </c>
      <c r="BN37" s="75" t="s">
        <v>134</v>
      </c>
      <c r="BO37" s="75" t="s">
        <v>134</v>
      </c>
      <c r="BP37" s="75" t="s">
        <v>134</v>
      </c>
      <c r="BQ37" s="75"/>
      <c r="BR37" s="75" t="s">
        <v>263</v>
      </c>
      <c r="BS37" s="75" t="s">
        <v>263</v>
      </c>
      <c r="BT37" s="75" t="s">
        <v>263</v>
      </c>
      <c r="BU37" s="75" t="s">
        <v>263</v>
      </c>
      <c r="BV37" s="75"/>
      <c r="BW37" s="81" t="s">
        <v>265</v>
      </c>
      <c r="BX37" s="81" t="s">
        <v>263</v>
      </c>
      <c r="BY37" s="81" t="s">
        <v>263</v>
      </c>
      <c r="BZ37" s="81" t="s">
        <v>263</v>
      </c>
      <c r="CA37" s="81" t="s">
        <v>263</v>
      </c>
      <c r="CB37" s="81" t="s">
        <v>265</v>
      </c>
      <c r="CC37" s="77"/>
      <c r="CD37" s="75" t="s">
        <v>134</v>
      </c>
      <c r="CE37" s="81" t="s">
        <v>263</v>
      </c>
      <c r="CF37" s="75" t="s">
        <v>134</v>
      </c>
      <c r="CG37" s="81" t="s">
        <v>263</v>
      </c>
      <c r="CH37" s="75" t="s">
        <v>134</v>
      </c>
      <c r="CI37" s="77"/>
      <c r="CJ37" s="81" t="s">
        <v>263</v>
      </c>
      <c r="CK37" s="81" t="s">
        <v>265</v>
      </c>
      <c r="CL37" s="81" t="s">
        <v>263</v>
      </c>
      <c r="CM37" s="81" t="s">
        <v>263</v>
      </c>
      <c r="CN37" s="81" t="s">
        <v>263</v>
      </c>
      <c r="CO37" s="81" t="s">
        <v>265</v>
      </c>
      <c r="CP37" s="81" t="s">
        <v>263</v>
      </c>
      <c r="CQ37" s="81" t="s">
        <v>263</v>
      </c>
      <c r="CR37" s="81" t="s">
        <v>263</v>
      </c>
      <c r="CS37" s="81" t="s">
        <v>263</v>
      </c>
      <c r="CT37" s="81" t="s">
        <v>263</v>
      </c>
      <c r="CU37" s="81"/>
      <c r="CV37" s="75" t="s">
        <v>263</v>
      </c>
      <c r="CW37" s="75" t="s">
        <v>263</v>
      </c>
      <c r="CX37" s="75" t="s">
        <v>263</v>
      </c>
      <c r="CY37" s="75" t="s">
        <v>263</v>
      </c>
      <c r="CZ37" s="75" t="s">
        <v>263</v>
      </c>
      <c r="DA37" s="81"/>
      <c r="DB37" s="75" t="s">
        <v>134</v>
      </c>
      <c r="DC37" s="75" t="s">
        <v>263</v>
      </c>
      <c r="DD37" s="75" t="s">
        <v>263</v>
      </c>
      <c r="DE37" s="75" t="s">
        <v>263</v>
      </c>
      <c r="DF37" s="75" t="s">
        <v>263</v>
      </c>
      <c r="DG37" s="75" t="s">
        <v>134</v>
      </c>
      <c r="DH37" s="75"/>
      <c r="DI37" s="75" t="s">
        <v>134</v>
      </c>
      <c r="DJ37" s="75" t="s">
        <v>263</v>
      </c>
      <c r="DK37" s="75" t="s">
        <v>263</v>
      </c>
      <c r="DL37" s="75" t="s">
        <v>134</v>
      </c>
      <c r="DM37" s="75" t="s">
        <v>134</v>
      </c>
      <c r="DN37" s="75" t="s">
        <v>134</v>
      </c>
      <c r="DO37" s="75"/>
      <c r="DP37" s="75" t="s">
        <v>134</v>
      </c>
      <c r="DQ37" s="75" t="s">
        <v>263</v>
      </c>
      <c r="DR37" s="75" t="s">
        <v>134</v>
      </c>
      <c r="DS37" s="75" t="s">
        <v>263</v>
      </c>
      <c r="DT37" s="75" t="s">
        <v>134</v>
      </c>
      <c r="DU37" s="75"/>
      <c r="DV37" s="75" t="s">
        <v>263</v>
      </c>
      <c r="DW37" s="75" t="s">
        <v>263</v>
      </c>
      <c r="DX37" s="75" t="s">
        <v>134</v>
      </c>
      <c r="DY37" s="75" t="s">
        <v>134</v>
      </c>
      <c r="DZ37" s="75" t="s">
        <v>263</v>
      </c>
      <c r="EA37" s="75" t="s">
        <v>263</v>
      </c>
      <c r="EB37" s="75" t="s">
        <v>134</v>
      </c>
      <c r="EC37" s="75" t="s">
        <v>263</v>
      </c>
      <c r="ED37" s="75" t="s">
        <v>263</v>
      </c>
      <c r="EE37" s="75"/>
      <c r="EF37" s="75" t="s">
        <v>134</v>
      </c>
      <c r="EG37" s="75" t="s">
        <v>263</v>
      </c>
      <c r="EH37" s="75" t="s">
        <v>134</v>
      </c>
      <c r="EI37" s="75" t="s">
        <v>263</v>
      </c>
      <c r="EJ37" s="75" t="s">
        <v>134</v>
      </c>
      <c r="EK37" s="75"/>
      <c r="EL37" s="75" t="s">
        <v>263</v>
      </c>
      <c r="EM37" s="75" t="s">
        <v>263</v>
      </c>
      <c r="EN37" s="75" t="s">
        <v>134</v>
      </c>
      <c r="EO37" s="75" t="s">
        <v>263</v>
      </c>
      <c r="EP37" s="75" t="s">
        <v>263</v>
      </c>
      <c r="EQ37" s="75"/>
      <c r="ER37" s="75" t="s">
        <v>134</v>
      </c>
      <c r="ES37" s="75" t="s">
        <v>263</v>
      </c>
      <c r="ET37" s="75" t="s">
        <v>263</v>
      </c>
      <c r="EU37" s="75" t="s">
        <v>263</v>
      </c>
      <c r="EV37" s="75" t="s">
        <v>134</v>
      </c>
      <c r="EW37" s="75" t="s">
        <v>134</v>
      </c>
      <c r="EX37" s="75" t="s">
        <v>134</v>
      </c>
      <c r="EY37" s="75"/>
      <c r="EZ37" s="75" t="s">
        <v>134</v>
      </c>
      <c r="FA37" s="75" t="s">
        <v>263</v>
      </c>
      <c r="FB37" s="75" t="s">
        <v>263</v>
      </c>
      <c r="FC37" s="75" t="s">
        <v>134</v>
      </c>
      <c r="FD37" s="75" t="s">
        <v>134</v>
      </c>
      <c r="FE37" s="75" t="s">
        <v>134</v>
      </c>
      <c r="FF37" s="75"/>
      <c r="FG37" s="81" t="s">
        <v>263</v>
      </c>
      <c r="FH37" s="81" t="s">
        <v>265</v>
      </c>
      <c r="FI37" s="81" t="s">
        <v>263</v>
      </c>
      <c r="FJ37" s="81" t="s">
        <v>263</v>
      </c>
      <c r="FK37" s="81" t="s">
        <v>263</v>
      </c>
      <c r="FL37" s="75"/>
      <c r="FM37" s="75" t="s">
        <v>263</v>
      </c>
      <c r="FN37" s="75" t="s">
        <v>263</v>
      </c>
      <c r="FO37" s="75" t="s">
        <v>134</v>
      </c>
      <c r="FP37" s="75" t="s">
        <v>134</v>
      </c>
      <c r="FQ37" s="75" t="s">
        <v>263</v>
      </c>
      <c r="FR37" s="75"/>
      <c r="FS37" s="75" t="s">
        <v>134</v>
      </c>
      <c r="FT37" s="75" t="s">
        <v>263</v>
      </c>
      <c r="FU37" s="75" t="s">
        <v>134</v>
      </c>
      <c r="FV37" s="75" t="s">
        <v>263</v>
      </c>
      <c r="FW37" s="75" t="s">
        <v>134</v>
      </c>
      <c r="FX37" s="75" t="s">
        <v>134</v>
      </c>
      <c r="FY37" s="75"/>
      <c r="FZ37" s="75" t="s">
        <v>263</v>
      </c>
      <c r="GA37" s="75"/>
      <c r="GB37" s="75" t="s">
        <v>263</v>
      </c>
      <c r="GC37" s="75" t="s">
        <v>263</v>
      </c>
      <c r="GD37" s="75" t="s">
        <v>134</v>
      </c>
      <c r="GE37" s="75" t="s">
        <v>134</v>
      </c>
      <c r="GF37" s="75" t="s">
        <v>263</v>
      </c>
      <c r="GG37" s="75"/>
      <c r="GH37" s="81" t="s">
        <v>263</v>
      </c>
      <c r="GI37" s="81" t="s">
        <v>265</v>
      </c>
      <c r="GJ37" s="81" t="s">
        <v>263</v>
      </c>
      <c r="GK37" s="81" t="s">
        <v>263</v>
      </c>
      <c r="GL37" s="81" t="s">
        <v>263</v>
      </c>
      <c r="GM37" s="81"/>
      <c r="GN37" s="81" t="s">
        <v>344</v>
      </c>
      <c r="GO37" s="75" t="s">
        <v>263</v>
      </c>
      <c r="GP37" s="75" t="s">
        <v>263</v>
      </c>
      <c r="GQ37" s="81" t="s">
        <v>344</v>
      </c>
      <c r="GR37" s="81"/>
      <c r="GS37" s="75" t="s">
        <v>134</v>
      </c>
      <c r="GT37" s="75" t="s">
        <v>263</v>
      </c>
      <c r="GU37" s="75" t="s">
        <v>134</v>
      </c>
      <c r="GV37" s="75" t="s">
        <v>134</v>
      </c>
      <c r="GW37" s="75" t="s">
        <v>134</v>
      </c>
      <c r="GX37" s="75" t="s">
        <v>263</v>
      </c>
      <c r="GY37" s="75" t="s">
        <v>134</v>
      </c>
      <c r="GZ37" s="75" t="s">
        <v>134</v>
      </c>
      <c r="HA37" s="75" t="s">
        <v>134</v>
      </c>
      <c r="HB37" s="75" t="s">
        <v>134</v>
      </c>
      <c r="HC37" s="75" t="s">
        <v>263</v>
      </c>
      <c r="HD37" s="75" t="s">
        <v>134</v>
      </c>
      <c r="HE37" s="75"/>
      <c r="HF37" s="75" t="s">
        <v>134</v>
      </c>
      <c r="HG37" s="75" t="s">
        <v>263</v>
      </c>
      <c r="HH37" s="75" t="s">
        <v>263</v>
      </c>
      <c r="HI37" s="75" t="s">
        <v>134</v>
      </c>
      <c r="HJ37" s="75" t="s">
        <v>134</v>
      </c>
      <c r="HK37" s="75" t="s">
        <v>263</v>
      </c>
      <c r="HL37" s="75" t="s">
        <v>134</v>
      </c>
      <c r="HM37" s="75"/>
      <c r="HN37" s="75" t="s">
        <v>134</v>
      </c>
      <c r="HO37" s="75" t="s">
        <v>134</v>
      </c>
      <c r="HP37" s="75" t="s">
        <v>263</v>
      </c>
      <c r="HQ37" s="75" t="s">
        <v>263</v>
      </c>
      <c r="HR37" s="75" t="s">
        <v>134</v>
      </c>
      <c r="HS37" s="75" t="s">
        <v>134</v>
      </c>
      <c r="HT37" s="75"/>
      <c r="HU37" s="75" t="s">
        <v>134</v>
      </c>
      <c r="HV37" s="75" t="s">
        <v>263</v>
      </c>
      <c r="HW37" s="75" t="s">
        <v>134</v>
      </c>
      <c r="HX37" s="75" t="s">
        <v>134</v>
      </c>
      <c r="HY37" s="75" t="s">
        <v>134</v>
      </c>
      <c r="HZ37" s="75" t="s">
        <v>134</v>
      </c>
      <c r="IA37" s="75"/>
      <c r="IB37" s="81" t="s">
        <v>263</v>
      </c>
      <c r="IC37" s="81" t="s">
        <v>265</v>
      </c>
      <c r="ID37" s="81" t="s">
        <v>265</v>
      </c>
      <c r="IE37" s="81" t="s">
        <v>265</v>
      </c>
      <c r="IF37" s="81" t="s">
        <v>263</v>
      </c>
      <c r="IG37" s="81" t="s">
        <v>263</v>
      </c>
      <c r="IH37" s="81"/>
      <c r="II37" s="75" t="s">
        <v>263</v>
      </c>
      <c r="IJ37" s="75" t="s">
        <v>263</v>
      </c>
      <c r="IK37" s="75" t="s">
        <v>263</v>
      </c>
      <c r="IL37" s="75" t="s">
        <v>263</v>
      </c>
      <c r="IM37" s="75" t="s">
        <v>263</v>
      </c>
      <c r="IN37" s="81"/>
      <c r="IO37" s="81" t="s">
        <v>344</v>
      </c>
      <c r="IP37" s="75" t="s">
        <v>134</v>
      </c>
      <c r="IQ37" s="81" t="s">
        <v>344</v>
      </c>
      <c r="IR37" s="81" t="s">
        <v>344</v>
      </c>
      <c r="IS37" s="75" t="s">
        <v>134</v>
      </c>
      <c r="IT37" s="75" t="s">
        <v>263</v>
      </c>
      <c r="IU37" s="81" t="s">
        <v>344</v>
      </c>
      <c r="IV37" s="81"/>
      <c r="IW37" s="75" t="s">
        <v>134</v>
      </c>
      <c r="IX37" s="75" t="s">
        <v>134</v>
      </c>
      <c r="IY37" s="75" t="s">
        <v>263</v>
      </c>
      <c r="IZ37" s="75" t="s">
        <v>134</v>
      </c>
      <c r="JA37" s="75" t="s">
        <v>134</v>
      </c>
      <c r="JB37" s="81"/>
      <c r="JC37" s="81" t="s">
        <v>263</v>
      </c>
      <c r="JD37" s="81" t="s">
        <v>134</v>
      </c>
      <c r="JE37" s="81" t="s">
        <v>263</v>
      </c>
      <c r="JF37" s="81" t="s">
        <v>265</v>
      </c>
      <c r="JG37" s="81" t="s">
        <v>265</v>
      </c>
      <c r="JH37" s="81" t="s">
        <v>265</v>
      </c>
      <c r="JI37" s="81" t="s">
        <v>265</v>
      </c>
      <c r="JJ37" s="81" t="s">
        <v>263</v>
      </c>
      <c r="JK37" s="81" t="s">
        <v>263</v>
      </c>
      <c r="JL37" s="81"/>
      <c r="JM37" s="75" t="s">
        <v>134</v>
      </c>
      <c r="JN37" s="75" t="s">
        <v>263</v>
      </c>
      <c r="JO37" s="75" t="s">
        <v>134</v>
      </c>
      <c r="JP37" s="81"/>
      <c r="JQ37" s="75" t="s">
        <v>134</v>
      </c>
      <c r="JR37" s="75" t="s">
        <v>263</v>
      </c>
      <c r="JS37" s="75" t="s">
        <v>263</v>
      </c>
      <c r="JT37" s="75" t="s">
        <v>263</v>
      </c>
      <c r="JU37" s="75" t="s">
        <v>134</v>
      </c>
      <c r="JV37" s="75" t="s">
        <v>134</v>
      </c>
    </row>
    <row r="38" spans="1:282" x14ac:dyDescent="0.15">
      <c r="A38" s="214" t="s">
        <v>66</v>
      </c>
      <c r="B38" s="6" t="s">
        <v>485</v>
      </c>
      <c r="C38" s="6">
        <v>70000</v>
      </c>
      <c r="D38" s="6">
        <v>12</v>
      </c>
      <c r="E38" s="6">
        <v>6</v>
      </c>
      <c r="F38" s="6">
        <v>3</v>
      </c>
      <c r="G38" s="6" t="s">
        <v>59</v>
      </c>
      <c r="H38" s="6" t="s">
        <v>37</v>
      </c>
      <c r="I38" s="6" t="s">
        <v>46</v>
      </c>
      <c r="J38" s="21"/>
      <c r="K38" s="21">
        <v>1</v>
      </c>
      <c r="L38" s="21">
        <v>1</v>
      </c>
      <c r="M38" s="21">
        <v>2</v>
      </c>
      <c r="N38" s="21">
        <v>0</v>
      </c>
      <c r="O38" s="21">
        <v>0</v>
      </c>
      <c r="P38" s="21" t="str">
        <f>IF(TeamT[[#This Row],[General]]+TeamT[[#This Row],[Agility]]+TeamT[[#This Row],[Strength]]+TeamT[[#This Row],[Passing]]+TeamT[[#This Row],[Mutation]]&gt;0,IF(TeamT[[#This Row],[General]]=1,"G","")&amp;IF(TeamT[[#This Row],[Agility]]=1,"A","")&amp;IF(TeamT[[#This Row],[Strength]]=1,"S","")&amp;IF(TeamT[[#This Row],[Passing]]=1,"P","")&amp;IF(TeamT[[#This Row],[Mutation]]=1,"M",""),"Star")</f>
        <v>GA</v>
      </c>
      <c r="Q38" s="21" t="str">
        <f>IF(TeamT[[#This Row],[General]]=2,"G","")&amp;IF(TeamT[[#This Row],[Agility]]=2,"A","")&amp;IF(TeamT[[#This Row],[Strength]]=2,"S","")&amp;IF(TeamT[[#This Row],[Passing]]=2,"P","")&amp;IF(TeamT[[#This Row],[Mutation]]=2,"M","")</f>
        <v>S</v>
      </c>
      <c r="R38" s="212"/>
      <c r="S38" s="21">
        <v>2</v>
      </c>
      <c r="T38" s="21">
        <v>4</v>
      </c>
      <c r="U38" s="21">
        <v>9</v>
      </c>
      <c r="AA38" s="76" t="e">
        <f>HLOOKUP(Roster!$E$5,Team!$BL$2:$MK$128,37,FALSE)</f>
        <v>#N/A</v>
      </c>
      <c r="AB38" s="76" t="e">
        <f>HLOOKUP(Roster!$E$6,Team!$BL$2:$MK$128,37,FALSE)</f>
        <v>#N/A</v>
      </c>
      <c r="AC38" s="76" t="e">
        <f>HLOOKUP(Roster!$E$7,Team!$BL$2:$MK$128,37,FALSE)</f>
        <v>#N/A</v>
      </c>
      <c r="AD38" s="76" t="e">
        <f>HLOOKUP(Roster!$E$8,Team!$BL$2:$MK$128,37,FALSE)</f>
        <v>#N/A</v>
      </c>
      <c r="AE38" s="76" t="e">
        <f>HLOOKUP(Roster!$E$9,Team!$BL$2:$MK$128,37,FALSE)</f>
        <v>#N/A</v>
      </c>
      <c r="AF38" s="76" t="e">
        <f>HLOOKUP(Roster!$E$10,Team!$BL$2:$MK$128,37,FALSE)</f>
        <v>#N/A</v>
      </c>
      <c r="AG38" s="76" t="e">
        <f>HLOOKUP(Roster!$E$11,Team!$BL$2:$MK$128,37,FALSE)</f>
        <v>#N/A</v>
      </c>
      <c r="AH38" s="76" t="e">
        <f>HLOOKUP(Roster!$E$12,Team!$BL$2:$MK$128,37,FALSE)</f>
        <v>#N/A</v>
      </c>
      <c r="AI38" s="76" t="e">
        <f>HLOOKUP(Roster!$E$13,Team!$BL$2:$MK$128,37,FALSE)</f>
        <v>#N/A</v>
      </c>
      <c r="AJ38" s="76" t="e">
        <f>HLOOKUP(Roster!$E$14,Team!$BL$2:$MK$128,37,FALSE)</f>
        <v>#N/A</v>
      </c>
      <c r="AK38" s="76" t="e">
        <f>HLOOKUP(Roster!$E$15,Team!$BL$2:$MK$128,37,FALSE)</f>
        <v>#N/A</v>
      </c>
      <c r="AL38" s="76" t="e">
        <f>HLOOKUP(Roster!$E$16,Team!$BL$2:$MK$128,37,FALSE)</f>
        <v>#N/A</v>
      </c>
      <c r="AM38" s="76" t="e">
        <f>HLOOKUP(Roster!$E$17,Team!$BL$2:$MK$128,37,FALSE)</f>
        <v>#N/A</v>
      </c>
      <c r="AN38" s="76" t="e">
        <f>HLOOKUP(Roster!$E$18,Team!$BL$2:$MK$128,37,FALSE)</f>
        <v>#N/A</v>
      </c>
      <c r="AO38" s="76" t="e">
        <f>HLOOKUP(Roster!$E$19,Team!$BL$2:$MK$128,37,FALSE)</f>
        <v>#N/A</v>
      </c>
      <c r="AP38" s="76" t="e">
        <f>HLOOKUP(Roster!$E$20,Team!$BL$2:$MK$128,37,FALSE)</f>
        <v>#N/A</v>
      </c>
      <c r="AR38" s="108">
        <f t="shared" si="1"/>
        <v>0</v>
      </c>
      <c r="AS38" s="108">
        <f t="shared" si="2"/>
        <v>0</v>
      </c>
      <c r="AT38" s="108">
        <f t="shared" si="3"/>
        <v>0</v>
      </c>
      <c r="AU38" s="108">
        <f t="shared" si="4"/>
        <v>0</v>
      </c>
      <c r="AV38" s="108">
        <f t="shared" si="5"/>
        <v>0</v>
      </c>
      <c r="AW38" s="108">
        <f t="shared" si="6"/>
        <v>0</v>
      </c>
      <c r="AX38" s="108">
        <f t="shared" si="7"/>
        <v>0</v>
      </c>
      <c r="AY38" s="108">
        <f t="shared" si="8"/>
        <v>0</v>
      </c>
      <c r="AZ38" s="108">
        <f t="shared" si="9"/>
        <v>0</v>
      </c>
      <c r="BA38" s="108">
        <f t="shared" si="10"/>
        <v>0</v>
      </c>
      <c r="BB38" s="108">
        <f t="shared" si="11"/>
        <v>0</v>
      </c>
      <c r="BC38" s="108">
        <f t="shared" si="12"/>
        <v>0</v>
      </c>
      <c r="BD38" s="108">
        <f t="shared" si="13"/>
        <v>0</v>
      </c>
      <c r="BE38" s="108">
        <f t="shared" si="14"/>
        <v>0</v>
      </c>
      <c r="BF38" s="108">
        <f t="shared" si="15"/>
        <v>0</v>
      </c>
      <c r="BG38" s="108">
        <f t="shared" si="16"/>
        <v>0</v>
      </c>
      <c r="BL38" s="75" t="s">
        <v>227</v>
      </c>
      <c r="BM38" s="75" t="s">
        <v>233</v>
      </c>
      <c r="BN38" s="75" t="s">
        <v>227</v>
      </c>
      <c r="BO38" s="75" t="s">
        <v>227</v>
      </c>
      <c r="BP38" s="75" t="s">
        <v>227</v>
      </c>
      <c r="BQ38" s="75"/>
      <c r="BR38" s="75" t="s">
        <v>233</v>
      </c>
      <c r="BS38" s="75" t="s">
        <v>233</v>
      </c>
      <c r="BT38" s="75" t="s">
        <v>233</v>
      </c>
      <c r="BU38" s="75" t="s">
        <v>233</v>
      </c>
      <c r="BV38" s="75"/>
      <c r="BW38" s="81" t="s">
        <v>47</v>
      </c>
      <c r="BX38" s="81" t="s">
        <v>233</v>
      </c>
      <c r="BY38" s="81" t="s">
        <v>233</v>
      </c>
      <c r="BZ38" s="81" t="s">
        <v>233</v>
      </c>
      <c r="CA38" s="81" t="s">
        <v>233</v>
      </c>
      <c r="CB38" s="81" t="s">
        <v>47</v>
      </c>
      <c r="CC38" s="77"/>
      <c r="CD38" s="75" t="s">
        <v>227</v>
      </c>
      <c r="CE38" s="81" t="s">
        <v>233</v>
      </c>
      <c r="CF38" s="75" t="s">
        <v>227</v>
      </c>
      <c r="CG38" s="81" t="s">
        <v>233</v>
      </c>
      <c r="CH38" s="75" t="s">
        <v>227</v>
      </c>
      <c r="CI38" s="77"/>
      <c r="CJ38" s="81" t="s">
        <v>233</v>
      </c>
      <c r="CK38" s="81" t="s">
        <v>47</v>
      </c>
      <c r="CL38" s="81" t="s">
        <v>233</v>
      </c>
      <c r="CM38" s="81" t="s">
        <v>233</v>
      </c>
      <c r="CN38" s="81" t="s">
        <v>233</v>
      </c>
      <c r="CO38" s="81" t="s">
        <v>47</v>
      </c>
      <c r="CP38" s="81" t="s">
        <v>233</v>
      </c>
      <c r="CQ38" s="81" t="s">
        <v>233</v>
      </c>
      <c r="CR38" s="81" t="s">
        <v>233</v>
      </c>
      <c r="CS38" s="81" t="s">
        <v>233</v>
      </c>
      <c r="CT38" s="81" t="s">
        <v>233</v>
      </c>
      <c r="CU38" s="81"/>
      <c r="CV38" s="75" t="s">
        <v>233</v>
      </c>
      <c r="CW38" s="75" t="s">
        <v>233</v>
      </c>
      <c r="CX38" s="75" t="s">
        <v>233</v>
      </c>
      <c r="CY38" s="75" t="s">
        <v>233</v>
      </c>
      <c r="CZ38" s="75" t="s">
        <v>233</v>
      </c>
      <c r="DA38" s="81"/>
      <c r="DB38" s="75" t="s">
        <v>227</v>
      </c>
      <c r="DC38" s="75" t="s">
        <v>233</v>
      </c>
      <c r="DD38" s="75" t="s">
        <v>233</v>
      </c>
      <c r="DE38" s="75" t="s">
        <v>233</v>
      </c>
      <c r="DF38" s="75" t="s">
        <v>233</v>
      </c>
      <c r="DG38" s="75" t="s">
        <v>227</v>
      </c>
      <c r="DH38" s="75"/>
      <c r="DI38" s="75" t="s">
        <v>227</v>
      </c>
      <c r="DJ38" s="75" t="s">
        <v>233</v>
      </c>
      <c r="DK38" s="75" t="s">
        <v>233</v>
      </c>
      <c r="DL38" s="75" t="s">
        <v>227</v>
      </c>
      <c r="DM38" s="75" t="s">
        <v>227</v>
      </c>
      <c r="DN38" s="75" t="s">
        <v>227</v>
      </c>
      <c r="DO38" s="75"/>
      <c r="DP38" s="75" t="s">
        <v>227</v>
      </c>
      <c r="DQ38" s="75" t="s">
        <v>233</v>
      </c>
      <c r="DR38" s="75" t="s">
        <v>227</v>
      </c>
      <c r="DS38" s="75" t="s">
        <v>233</v>
      </c>
      <c r="DT38" s="75" t="s">
        <v>227</v>
      </c>
      <c r="DU38" s="75"/>
      <c r="DV38" s="75" t="s">
        <v>233</v>
      </c>
      <c r="DW38" s="75" t="s">
        <v>233</v>
      </c>
      <c r="DX38" s="75" t="s">
        <v>227</v>
      </c>
      <c r="DY38" s="75" t="s">
        <v>227</v>
      </c>
      <c r="DZ38" s="75" t="s">
        <v>233</v>
      </c>
      <c r="EA38" s="75" t="s">
        <v>233</v>
      </c>
      <c r="EB38" s="75" t="s">
        <v>227</v>
      </c>
      <c r="EC38" s="75" t="s">
        <v>233</v>
      </c>
      <c r="ED38" s="75" t="s">
        <v>233</v>
      </c>
      <c r="EE38" s="75"/>
      <c r="EF38" s="75" t="s">
        <v>227</v>
      </c>
      <c r="EG38" s="75" t="s">
        <v>233</v>
      </c>
      <c r="EH38" s="75" t="s">
        <v>227</v>
      </c>
      <c r="EI38" s="75" t="s">
        <v>233</v>
      </c>
      <c r="EJ38" s="75" t="s">
        <v>227</v>
      </c>
      <c r="EK38" s="75"/>
      <c r="EL38" s="75" t="s">
        <v>233</v>
      </c>
      <c r="EM38" s="75" t="s">
        <v>233</v>
      </c>
      <c r="EN38" s="75" t="s">
        <v>227</v>
      </c>
      <c r="EO38" s="75" t="s">
        <v>233</v>
      </c>
      <c r="EP38" s="75" t="s">
        <v>233</v>
      </c>
      <c r="EQ38" s="75"/>
      <c r="ER38" s="75" t="s">
        <v>227</v>
      </c>
      <c r="ES38" s="75" t="s">
        <v>233</v>
      </c>
      <c r="ET38" s="75" t="s">
        <v>233</v>
      </c>
      <c r="EU38" s="75" t="s">
        <v>233</v>
      </c>
      <c r="EV38" s="75" t="s">
        <v>227</v>
      </c>
      <c r="EW38" s="75" t="s">
        <v>227</v>
      </c>
      <c r="EX38" s="75" t="s">
        <v>227</v>
      </c>
      <c r="EY38" s="75"/>
      <c r="EZ38" s="75" t="s">
        <v>227</v>
      </c>
      <c r="FA38" s="75" t="s">
        <v>233</v>
      </c>
      <c r="FB38" s="75" t="s">
        <v>233</v>
      </c>
      <c r="FC38" s="75" t="s">
        <v>227</v>
      </c>
      <c r="FD38" s="75" t="s">
        <v>227</v>
      </c>
      <c r="FE38" s="75" t="s">
        <v>227</v>
      </c>
      <c r="FF38" s="75"/>
      <c r="FG38" s="81" t="s">
        <v>233</v>
      </c>
      <c r="FH38" s="81" t="s">
        <v>47</v>
      </c>
      <c r="FI38" s="81" t="s">
        <v>233</v>
      </c>
      <c r="FJ38" s="81" t="s">
        <v>233</v>
      </c>
      <c r="FK38" s="81" t="s">
        <v>233</v>
      </c>
      <c r="FL38" s="75"/>
      <c r="FM38" s="75" t="s">
        <v>233</v>
      </c>
      <c r="FN38" s="75" t="s">
        <v>233</v>
      </c>
      <c r="FO38" s="75" t="s">
        <v>227</v>
      </c>
      <c r="FP38" s="75" t="s">
        <v>227</v>
      </c>
      <c r="FQ38" s="75" t="s">
        <v>233</v>
      </c>
      <c r="FR38" s="75"/>
      <c r="FS38" s="75" t="s">
        <v>227</v>
      </c>
      <c r="FT38" s="75" t="s">
        <v>233</v>
      </c>
      <c r="FU38" s="75" t="s">
        <v>227</v>
      </c>
      <c r="FV38" s="75" t="s">
        <v>233</v>
      </c>
      <c r="FW38" s="75" t="s">
        <v>227</v>
      </c>
      <c r="FX38" s="75" t="s">
        <v>227</v>
      </c>
      <c r="FY38" s="75"/>
      <c r="FZ38" s="75" t="s">
        <v>233</v>
      </c>
      <c r="GA38" s="75"/>
      <c r="GB38" s="75" t="s">
        <v>233</v>
      </c>
      <c r="GC38" s="75" t="s">
        <v>233</v>
      </c>
      <c r="GD38" s="75" t="s">
        <v>227</v>
      </c>
      <c r="GE38" s="75" t="s">
        <v>227</v>
      </c>
      <c r="GF38" s="75" t="s">
        <v>233</v>
      </c>
      <c r="GG38" s="75"/>
      <c r="GH38" s="81" t="s">
        <v>233</v>
      </c>
      <c r="GI38" s="81" t="s">
        <v>47</v>
      </c>
      <c r="GJ38" s="81" t="s">
        <v>233</v>
      </c>
      <c r="GK38" s="81" t="s">
        <v>233</v>
      </c>
      <c r="GL38" s="81" t="s">
        <v>233</v>
      </c>
      <c r="GM38" s="81"/>
      <c r="GN38" s="81" t="s">
        <v>345</v>
      </c>
      <c r="GO38" s="75" t="s">
        <v>233</v>
      </c>
      <c r="GP38" s="75" t="s">
        <v>233</v>
      </c>
      <c r="GQ38" s="81" t="s">
        <v>345</v>
      </c>
      <c r="GR38" s="81"/>
      <c r="GS38" s="75" t="s">
        <v>227</v>
      </c>
      <c r="GT38" s="75" t="s">
        <v>233</v>
      </c>
      <c r="GU38" s="75" t="s">
        <v>227</v>
      </c>
      <c r="GV38" s="75" t="s">
        <v>227</v>
      </c>
      <c r="GW38" s="75" t="s">
        <v>227</v>
      </c>
      <c r="GX38" s="75" t="s">
        <v>233</v>
      </c>
      <c r="GY38" s="75" t="s">
        <v>227</v>
      </c>
      <c r="GZ38" s="75" t="s">
        <v>227</v>
      </c>
      <c r="HA38" s="75" t="s">
        <v>227</v>
      </c>
      <c r="HB38" s="75" t="s">
        <v>227</v>
      </c>
      <c r="HC38" s="75" t="s">
        <v>233</v>
      </c>
      <c r="HD38" s="75" t="s">
        <v>227</v>
      </c>
      <c r="HE38" s="75"/>
      <c r="HF38" s="75" t="s">
        <v>227</v>
      </c>
      <c r="HG38" s="75" t="s">
        <v>233</v>
      </c>
      <c r="HH38" s="75" t="s">
        <v>233</v>
      </c>
      <c r="HI38" s="75" t="s">
        <v>227</v>
      </c>
      <c r="HJ38" s="75" t="s">
        <v>227</v>
      </c>
      <c r="HK38" s="75" t="s">
        <v>233</v>
      </c>
      <c r="HL38" s="75" t="s">
        <v>227</v>
      </c>
      <c r="HM38" s="75"/>
      <c r="HN38" s="75" t="s">
        <v>227</v>
      </c>
      <c r="HO38" s="75" t="s">
        <v>227</v>
      </c>
      <c r="HP38" s="75" t="s">
        <v>233</v>
      </c>
      <c r="HQ38" s="75" t="s">
        <v>233</v>
      </c>
      <c r="HR38" s="75" t="s">
        <v>227</v>
      </c>
      <c r="HS38" s="75" t="s">
        <v>227</v>
      </c>
      <c r="HT38" s="75"/>
      <c r="HU38" s="75" t="s">
        <v>227</v>
      </c>
      <c r="HV38" s="75" t="s">
        <v>233</v>
      </c>
      <c r="HW38" s="75" t="s">
        <v>227</v>
      </c>
      <c r="HX38" s="75" t="s">
        <v>227</v>
      </c>
      <c r="HY38" s="75" t="s">
        <v>227</v>
      </c>
      <c r="HZ38" s="75" t="s">
        <v>227</v>
      </c>
      <c r="IA38" s="75"/>
      <c r="IB38" s="81" t="s">
        <v>233</v>
      </c>
      <c r="IC38" s="81" t="s">
        <v>47</v>
      </c>
      <c r="ID38" s="81" t="s">
        <v>47</v>
      </c>
      <c r="IE38" s="81" t="s">
        <v>47</v>
      </c>
      <c r="IF38" s="81" t="s">
        <v>233</v>
      </c>
      <c r="IG38" s="81" t="s">
        <v>233</v>
      </c>
      <c r="IH38" s="81"/>
      <c r="II38" s="75" t="s">
        <v>233</v>
      </c>
      <c r="IJ38" s="75" t="s">
        <v>233</v>
      </c>
      <c r="IK38" s="75" t="s">
        <v>233</v>
      </c>
      <c r="IL38" s="75" t="s">
        <v>233</v>
      </c>
      <c r="IM38" s="75" t="s">
        <v>233</v>
      </c>
      <c r="IN38" s="81"/>
      <c r="IO38" s="81" t="s">
        <v>345</v>
      </c>
      <c r="IP38" s="75" t="s">
        <v>227</v>
      </c>
      <c r="IQ38" s="81" t="s">
        <v>345</v>
      </c>
      <c r="IR38" s="81" t="s">
        <v>345</v>
      </c>
      <c r="IS38" s="75" t="s">
        <v>227</v>
      </c>
      <c r="IT38" s="75" t="s">
        <v>233</v>
      </c>
      <c r="IU38" s="81" t="s">
        <v>345</v>
      </c>
      <c r="IV38" s="81"/>
      <c r="IW38" s="75" t="s">
        <v>227</v>
      </c>
      <c r="IX38" s="75" t="s">
        <v>227</v>
      </c>
      <c r="IY38" s="75" t="s">
        <v>233</v>
      </c>
      <c r="IZ38" s="75" t="s">
        <v>227</v>
      </c>
      <c r="JA38" s="75" t="s">
        <v>227</v>
      </c>
      <c r="JB38" s="81"/>
      <c r="JC38" s="81" t="s">
        <v>233</v>
      </c>
      <c r="JD38" s="81" t="s">
        <v>227</v>
      </c>
      <c r="JE38" s="81" t="s">
        <v>233</v>
      </c>
      <c r="JF38" s="81" t="s">
        <v>47</v>
      </c>
      <c r="JG38" s="81" t="s">
        <v>47</v>
      </c>
      <c r="JH38" s="81" t="s">
        <v>47</v>
      </c>
      <c r="JI38" s="81" t="s">
        <v>47</v>
      </c>
      <c r="JJ38" s="81" t="s">
        <v>233</v>
      </c>
      <c r="JK38" s="81" t="s">
        <v>233</v>
      </c>
      <c r="JL38" s="81"/>
      <c r="JM38" s="75" t="s">
        <v>227</v>
      </c>
      <c r="JN38" s="75" t="s">
        <v>233</v>
      </c>
      <c r="JO38" s="75" t="s">
        <v>227</v>
      </c>
      <c r="JP38" s="81"/>
      <c r="JQ38" s="75" t="s">
        <v>227</v>
      </c>
      <c r="JR38" s="75" t="s">
        <v>233</v>
      </c>
      <c r="JS38" s="75" t="s">
        <v>233</v>
      </c>
      <c r="JT38" s="75" t="s">
        <v>233</v>
      </c>
      <c r="JU38" s="75" t="s">
        <v>227</v>
      </c>
      <c r="JV38" s="75" t="s">
        <v>227</v>
      </c>
    </row>
    <row r="39" spans="1:282" x14ac:dyDescent="0.15">
      <c r="A39" s="214" t="s">
        <v>67</v>
      </c>
      <c r="B39" s="6" t="s">
        <v>485</v>
      </c>
      <c r="C39" s="6">
        <v>80000</v>
      </c>
      <c r="D39" s="6">
        <v>2</v>
      </c>
      <c r="E39" s="6">
        <v>7</v>
      </c>
      <c r="F39" s="6">
        <v>3</v>
      </c>
      <c r="G39" s="6" t="s">
        <v>59</v>
      </c>
      <c r="H39" s="6" t="s">
        <v>36</v>
      </c>
      <c r="I39" s="6" t="s">
        <v>38</v>
      </c>
      <c r="J39" s="21" t="s">
        <v>68</v>
      </c>
      <c r="K39" s="21">
        <v>1</v>
      </c>
      <c r="L39" s="21">
        <v>1</v>
      </c>
      <c r="M39" s="21">
        <v>2</v>
      </c>
      <c r="N39" s="21">
        <v>1</v>
      </c>
      <c r="O39" s="21">
        <v>0</v>
      </c>
      <c r="P39" s="21" t="str">
        <f>IF(TeamT[[#This Row],[General]]+TeamT[[#This Row],[Agility]]+TeamT[[#This Row],[Strength]]+TeamT[[#This Row],[Passing]]+TeamT[[#This Row],[Mutation]]&gt;0,IF(TeamT[[#This Row],[General]]=1,"G","")&amp;IF(TeamT[[#This Row],[Agility]]=1,"A","")&amp;IF(TeamT[[#This Row],[Strength]]=1,"S","")&amp;IF(TeamT[[#This Row],[Passing]]=1,"P","")&amp;IF(TeamT[[#This Row],[Mutation]]=1,"M",""),"Star")</f>
        <v>GAP</v>
      </c>
      <c r="Q39" s="21" t="str">
        <f>IF(TeamT[[#This Row],[General]]=2,"G","")&amp;IF(TeamT[[#This Row],[Agility]]=2,"A","")&amp;IF(TeamT[[#This Row],[Strength]]=2,"S","")&amp;IF(TeamT[[#This Row],[Passing]]=2,"P","")&amp;IF(TeamT[[#This Row],[Mutation]]=2,"M","")</f>
        <v>S</v>
      </c>
      <c r="R39" s="212"/>
      <c r="S39" s="21">
        <v>2</v>
      </c>
      <c r="T39" s="21">
        <v>3</v>
      </c>
      <c r="U39" s="21">
        <v>8</v>
      </c>
      <c r="AA39" s="76" t="e">
        <f>HLOOKUP(Roster!$E$5,Team!$BL$2:$MK$128,38,FALSE)</f>
        <v>#N/A</v>
      </c>
      <c r="AB39" s="76" t="e">
        <f>HLOOKUP(Roster!$E$6,Team!$BL$2:$MK$128,38,FALSE)</f>
        <v>#N/A</v>
      </c>
      <c r="AC39" s="76" t="e">
        <f>HLOOKUP(Roster!$E$7,Team!$BL$2:$MK$128,38,FALSE)</f>
        <v>#N/A</v>
      </c>
      <c r="AD39" s="76" t="e">
        <f>HLOOKUP(Roster!$E$8,Team!$BL$2:$MK$128,38,FALSE)</f>
        <v>#N/A</v>
      </c>
      <c r="AE39" s="76" t="e">
        <f>HLOOKUP(Roster!$E$9,Team!$BL$2:$MK$128,38,FALSE)</f>
        <v>#N/A</v>
      </c>
      <c r="AF39" s="76" t="e">
        <f>HLOOKUP(Roster!$E$10,Team!$BL$2:$MK$128,38,FALSE)</f>
        <v>#N/A</v>
      </c>
      <c r="AG39" s="76" t="e">
        <f>HLOOKUP(Roster!$E$11,Team!$BL$2:$MK$128,38,FALSE)</f>
        <v>#N/A</v>
      </c>
      <c r="AH39" s="76" t="e">
        <f>HLOOKUP(Roster!$E$12,Team!$BL$2:$MK$128,38,FALSE)</f>
        <v>#N/A</v>
      </c>
      <c r="AI39" s="76" t="e">
        <f>HLOOKUP(Roster!$E$13,Team!$BL$2:$MK$128,38,FALSE)</f>
        <v>#N/A</v>
      </c>
      <c r="AJ39" s="76" t="e">
        <f>HLOOKUP(Roster!$E$14,Team!$BL$2:$MK$128,38,FALSE)</f>
        <v>#N/A</v>
      </c>
      <c r="AK39" s="76" t="e">
        <f>HLOOKUP(Roster!$E$15,Team!$BL$2:$MK$128,38,FALSE)</f>
        <v>#N/A</v>
      </c>
      <c r="AL39" s="76" t="e">
        <f>HLOOKUP(Roster!$E$16,Team!$BL$2:$MK$128,38,FALSE)</f>
        <v>#N/A</v>
      </c>
      <c r="AM39" s="76" t="e">
        <f>HLOOKUP(Roster!$E$17,Team!$BL$2:$MK$128,38,FALSE)</f>
        <v>#N/A</v>
      </c>
      <c r="AN39" s="76" t="e">
        <f>HLOOKUP(Roster!$E$18,Team!$BL$2:$MK$128,38,FALSE)</f>
        <v>#N/A</v>
      </c>
      <c r="AO39" s="76" t="e">
        <f>HLOOKUP(Roster!$E$19,Team!$BL$2:$MK$128,38,FALSE)</f>
        <v>#N/A</v>
      </c>
      <c r="AP39" s="76" t="e">
        <f>HLOOKUP(Roster!$E$20,Team!$BL$2:$MK$128,38,FALSE)</f>
        <v>#N/A</v>
      </c>
      <c r="AR39" s="108">
        <f t="shared" si="1"/>
        <v>0</v>
      </c>
      <c r="AS39" s="108">
        <f t="shared" si="2"/>
        <v>0</v>
      </c>
      <c r="AT39" s="108">
        <f t="shared" si="3"/>
        <v>0</v>
      </c>
      <c r="AU39" s="108">
        <f t="shared" si="4"/>
        <v>0</v>
      </c>
      <c r="AV39" s="108">
        <f t="shared" si="5"/>
        <v>0</v>
      </c>
      <c r="AW39" s="108">
        <f t="shared" si="6"/>
        <v>0</v>
      </c>
      <c r="AX39" s="108">
        <f t="shared" si="7"/>
        <v>0</v>
      </c>
      <c r="AY39" s="108">
        <f t="shared" si="8"/>
        <v>0</v>
      </c>
      <c r="AZ39" s="108">
        <f t="shared" si="9"/>
        <v>0</v>
      </c>
      <c r="BA39" s="108">
        <f t="shared" si="10"/>
        <v>0</v>
      </c>
      <c r="BB39" s="108">
        <f t="shared" si="11"/>
        <v>0</v>
      </c>
      <c r="BC39" s="108">
        <f t="shared" si="12"/>
        <v>0</v>
      </c>
      <c r="BD39" s="108">
        <f t="shared" si="13"/>
        <v>0</v>
      </c>
      <c r="BE39" s="108">
        <f t="shared" si="14"/>
        <v>0</v>
      </c>
      <c r="BF39" s="108">
        <f t="shared" si="15"/>
        <v>0</v>
      </c>
      <c r="BG39" s="108">
        <f t="shared" si="16"/>
        <v>0</v>
      </c>
      <c r="BL39" s="75" t="s">
        <v>228</v>
      </c>
      <c r="BM39" s="75" t="s">
        <v>234</v>
      </c>
      <c r="BN39" s="75" t="s">
        <v>228</v>
      </c>
      <c r="BO39" s="75" t="s">
        <v>228</v>
      </c>
      <c r="BP39" s="75" t="s">
        <v>228</v>
      </c>
      <c r="BQ39" s="75"/>
      <c r="BR39" s="75" t="s">
        <v>234</v>
      </c>
      <c r="BS39" s="75" t="s">
        <v>234</v>
      </c>
      <c r="BT39" s="75" t="s">
        <v>234</v>
      </c>
      <c r="BU39" s="75" t="s">
        <v>234</v>
      </c>
      <c r="BV39" s="75"/>
      <c r="BW39" s="81" t="s">
        <v>266</v>
      </c>
      <c r="BX39" s="81" t="s">
        <v>234</v>
      </c>
      <c r="BY39" s="81" t="s">
        <v>234</v>
      </c>
      <c r="BZ39" s="81" t="s">
        <v>234</v>
      </c>
      <c r="CA39" s="81" t="s">
        <v>234</v>
      </c>
      <c r="CB39" s="81" t="s">
        <v>266</v>
      </c>
      <c r="CC39" s="77"/>
      <c r="CD39" s="75" t="s">
        <v>228</v>
      </c>
      <c r="CE39" s="81" t="s">
        <v>234</v>
      </c>
      <c r="CF39" s="75" t="s">
        <v>228</v>
      </c>
      <c r="CG39" s="81" t="s">
        <v>234</v>
      </c>
      <c r="CH39" s="75" t="s">
        <v>228</v>
      </c>
      <c r="CI39" s="77"/>
      <c r="CJ39" s="81" t="s">
        <v>234</v>
      </c>
      <c r="CK39" s="81" t="s">
        <v>266</v>
      </c>
      <c r="CL39" s="81" t="s">
        <v>234</v>
      </c>
      <c r="CM39" s="81" t="s">
        <v>234</v>
      </c>
      <c r="CN39" s="81" t="s">
        <v>234</v>
      </c>
      <c r="CO39" s="81" t="s">
        <v>266</v>
      </c>
      <c r="CP39" s="81" t="s">
        <v>234</v>
      </c>
      <c r="CQ39" s="81" t="s">
        <v>234</v>
      </c>
      <c r="CR39" s="81" t="s">
        <v>234</v>
      </c>
      <c r="CS39" s="81" t="s">
        <v>234</v>
      </c>
      <c r="CT39" s="81" t="s">
        <v>234</v>
      </c>
      <c r="CU39" s="81"/>
      <c r="CV39" s="75" t="s">
        <v>234</v>
      </c>
      <c r="CW39" s="75" t="s">
        <v>234</v>
      </c>
      <c r="CX39" s="75" t="s">
        <v>234</v>
      </c>
      <c r="CY39" s="75" t="s">
        <v>234</v>
      </c>
      <c r="CZ39" s="75" t="s">
        <v>234</v>
      </c>
      <c r="DA39" s="81"/>
      <c r="DB39" s="75" t="s">
        <v>228</v>
      </c>
      <c r="DC39" s="75" t="s">
        <v>234</v>
      </c>
      <c r="DD39" s="75" t="s">
        <v>234</v>
      </c>
      <c r="DE39" s="75" t="s">
        <v>234</v>
      </c>
      <c r="DF39" s="75" t="s">
        <v>234</v>
      </c>
      <c r="DG39" s="75" t="s">
        <v>228</v>
      </c>
      <c r="DH39" s="75"/>
      <c r="DI39" s="75" t="s">
        <v>228</v>
      </c>
      <c r="DJ39" s="75" t="s">
        <v>234</v>
      </c>
      <c r="DK39" s="75" t="s">
        <v>234</v>
      </c>
      <c r="DL39" s="75" t="s">
        <v>228</v>
      </c>
      <c r="DM39" s="75" t="s">
        <v>228</v>
      </c>
      <c r="DN39" s="75" t="s">
        <v>228</v>
      </c>
      <c r="DO39" s="75"/>
      <c r="DP39" s="75" t="s">
        <v>228</v>
      </c>
      <c r="DQ39" s="75" t="s">
        <v>234</v>
      </c>
      <c r="DR39" s="75" t="s">
        <v>228</v>
      </c>
      <c r="DS39" s="75" t="s">
        <v>234</v>
      </c>
      <c r="DT39" s="75" t="s">
        <v>228</v>
      </c>
      <c r="DU39" s="75"/>
      <c r="DV39" s="75" t="s">
        <v>234</v>
      </c>
      <c r="DW39" s="75" t="s">
        <v>234</v>
      </c>
      <c r="DX39" s="75" t="s">
        <v>228</v>
      </c>
      <c r="DY39" s="75" t="s">
        <v>228</v>
      </c>
      <c r="DZ39" s="75" t="s">
        <v>234</v>
      </c>
      <c r="EA39" s="75" t="s">
        <v>234</v>
      </c>
      <c r="EB39" s="75" t="s">
        <v>228</v>
      </c>
      <c r="EC39" s="75" t="s">
        <v>234</v>
      </c>
      <c r="ED39" s="75" t="s">
        <v>234</v>
      </c>
      <c r="EE39" s="75"/>
      <c r="EF39" s="75" t="s">
        <v>228</v>
      </c>
      <c r="EG39" s="75" t="s">
        <v>234</v>
      </c>
      <c r="EH39" s="75" t="s">
        <v>228</v>
      </c>
      <c r="EI39" s="75" t="s">
        <v>234</v>
      </c>
      <c r="EJ39" s="75" t="s">
        <v>228</v>
      </c>
      <c r="EK39" s="75"/>
      <c r="EL39" s="75" t="s">
        <v>234</v>
      </c>
      <c r="EM39" s="75" t="s">
        <v>234</v>
      </c>
      <c r="EN39" s="75" t="s">
        <v>228</v>
      </c>
      <c r="EO39" s="75" t="s">
        <v>234</v>
      </c>
      <c r="EP39" s="75" t="s">
        <v>234</v>
      </c>
      <c r="EQ39" s="75"/>
      <c r="ER39" s="75" t="s">
        <v>228</v>
      </c>
      <c r="ES39" s="75" t="s">
        <v>234</v>
      </c>
      <c r="ET39" s="75" t="s">
        <v>234</v>
      </c>
      <c r="EU39" s="75" t="s">
        <v>234</v>
      </c>
      <c r="EV39" s="75" t="s">
        <v>228</v>
      </c>
      <c r="EW39" s="75" t="s">
        <v>228</v>
      </c>
      <c r="EX39" s="75" t="s">
        <v>228</v>
      </c>
      <c r="EY39" s="75"/>
      <c r="EZ39" s="75" t="s">
        <v>228</v>
      </c>
      <c r="FA39" s="75" t="s">
        <v>234</v>
      </c>
      <c r="FB39" s="75" t="s">
        <v>234</v>
      </c>
      <c r="FC39" s="75" t="s">
        <v>228</v>
      </c>
      <c r="FD39" s="75" t="s">
        <v>228</v>
      </c>
      <c r="FE39" s="75" t="s">
        <v>228</v>
      </c>
      <c r="FF39" s="75"/>
      <c r="FG39" s="81" t="s">
        <v>234</v>
      </c>
      <c r="FH39" s="81" t="s">
        <v>266</v>
      </c>
      <c r="FI39" s="81" t="s">
        <v>234</v>
      </c>
      <c r="FJ39" s="81" t="s">
        <v>234</v>
      </c>
      <c r="FK39" s="81" t="s">
        <v>234</v>
      </c>
      <c r="FL39" s="75"/>
      <c r="FM39" s="75" t="s">
        <v>234</v>
      </c>
      <c r="FN39" s="75" t="s">
        <v>234</v>
      </c>
      <c r="FO39" s="75" t="s">
        <v>228</v>
      </c>
      <c r="FP39" s="75" t="s">
        <v>228</v>
      </c>
      <c r="FQ39" s="75" t="s">
        <v>234</v>
      </c>
      <c r="FR39" s="75"/>
      <c r="FS39" s="75" t="s">
        <v>228</v>
      </c>
      <c r="FT39" s="75" t="s">
        <v>234</v>
      </c>
      <c r="FU39" s="75" t="s">
        <v>228</v>
      </c>
      <c r="FV39" s="75" t="s">
        <v>234</v>
      </c>
      <c r="FW39" s="75" t="s">
        <v>228</v>
      </c>
      <c r="FX39" s="75" t="s">
        <v>228</v>
      </c>
      <c r="FY39" s="75"/>
      <c r="FZ39" s="75" t="s">
        <v>234</v>
      </c>
      <c r="GA39" s="75"/>
      <c r="GB39" s="75" t="s">
        <v>234</v>
      </c>
      <c r="GC39" s="75" t="s">
        <v>234</v>
      </c>
      <c r="GD39" s="75" t="s">
        <v>228</v>
      </c>
      <c r="GE39" s="75" t="s">
        <v>228</v>
      </c>
      <c r="GF39" s="75" t="s">
        <v>234</v>
      </c>
      <c r="GG39" s="75"/>
      <c r="GH39" s="81" t="s">
        <v>234</v>
      </c>
      <c r="GI39" s="81" t="s">
        <v>266</v>
      </c>
      <c r="GJ39" s="81" t="s">
        <v>234</v>
      </c>
      <c r="GK39" s="81" t="s">
        <v>234</v>
      </c>
      <c r="GL39" s="81" t="s">
        <v>234</v>
      </c>
      <c r="GM39" s="81"/>
      <c r="GN39" s="81" t="s">
        <v>346</v>
      </c>
      <c r="GO39" s="75" t="s">
        <v>234</v>
      </c>
      <c r="GP39" s="75" t="s">
        <v>234</v>
      </c>
      <c r="GQ39" s="81" t="s">
        <v>346</v>
      </c>
      <c r="GR39" s="81"/>
      <c r="GS39" s="75" t="s">
        <v>228</v>
      </c>
      <c r="GT39" s="75" t="s">
        <v>234</v>
      </c>
      <c r="GU39" s="75" t="s">
        <v>228</v>
      </c>
      <c r="GV39" s="75" t="s">
        <v>228</v>
      </c>
      <c r="GW39" s="75" t="s">
        <v>228</v>
      </c>
      <c r="GX39" s="75" t="s">
        <v>234</v>
      </c>
      <c r="GY39" s="75" t="s">
        <v>228</v>
      </c>
      <c r="GZ39" s="75" t="s">
        <v>228</v>
      </c>
      <c r="HA39" s="75" t="s">
        <v>228</v>
      </c>
      <c r="HB39" s="75" t="s">
        <v>228</v>
      </c>
      <c r="HC39" s="75" t="s">
        <v>234</v>
      </c>
      <c r="HD39" s="75" t="s">
        <v>228</v>
      </c>
      <c r="HE39" s="75"/>
      <c r="HF39" s="75" t="s">
        <v>228</v>
      </c>
      <c r="HG39" s="75" t="s">
        <v>234</v>
      </c>
      <c r="HH39" s="75" t="s">
        <v>234</v>
      </c>
      <c r="HI39" s="75" t="s">
        <v>228</v>
      </c>
      <c r="HJ39" s="75" t="s">
        <v>228</v>
      </c>
      <c r="HK39" s="75" t="s">
        <v>234</v>
      </c>
      <c r="HL39" s="75" t="s">
        <v>228</v>
      </c>
      <c r="HM39" s="75"/>
      <c r="HN39" s="75" t="s">
        <v>228</v>
      </c>
      <c r="HO39" s="75" t="s">
        <v>228</v>
      </c>
      <c r="HP39" s="75" t="s">
        <v>234</v>
      </c>
      <c r="HQ39" s="75" t="s">
        <v>234</v>
      </c>
      <c r="HR39" s="75" t="s">
        <v>228</v>
      </c>
      <c r="HS39" s="75" t="s">
        <v>228</v>
      </c>
      <c r="HT39" s="75"/>
      <c r="HU39" s="75" t="s">
        <v>228</v>
      </c>
      <c r="HV39" s="75" t="s">
        <v>234</v>
      </c>
      <c r="HW39" s="75" t="s">
        <v>228</v>
      </c>
      <c r="HX39" s="75" t="s">
        <v>228</v>
      </c>
      <c r="HY39" s="75" t="s">
        <v>228</v>
      </c>
      <c r="HZ39" s="75" t="s">
        <v>228</v>
      </c>
      <c r="IA39" s="75"/>
      <c r="IB39" s="81" t="s">
        <v>234</v>
      </c>
      <c r="IC39" s="81" t="s">
        <v>266</v>
      </c>
      <c r="ID39" s="81" t="s">
        <v>266</v>
      </c>
      <c r="IE39" s="81" t="s">
        <v>266</v>
      </c>
      <c r="IF39" s="81" t="s">
        <v>234</v>
      </c>
      <c r="IG39" s="81" t="s">
        <v>234</v>
      </c>
      <c r="IH39" s="81"/>
      <c r="II39" s="75" t="s">
        <v>234</v>
      </c>
      <c r="IJ39" s="75" t="s">
        <v>234</v>
      </c>
      <c r="IK39" s="75" t="s">
        <v>234</v>
      </c>
      <c r="IL39" s="75" t="s">
        <v>234</v>
      </c>
      <c r="IM39" s="75" t="s">
        <v>234</v>
      </c>
      <c r="IN39" s="81"/>
      <c r="IO39" s="81" t="s">
        <v>346</v>
      </c>
      <c r="IP39" s="75" t="s">
        <v>228</v>
      </c>
      <c r="IQ39" s="81" t="s">
        <v>346</v>
      </c>
      <c r="IR39" s="81" t="s">
        <v>346</v>
      </c>
      <c r="IS39" s="75" t="s">
        <v>228</v>
      </c>
      <c r="IT39" s="75" t="s">
        <v>234</v>
      </c>
      <c r="IU39" s="81" t="s">
        <v>346</v>
      </c>
      <c r="IV39" s="81"/>
      <c r="IW39" s="75" t="s">
        <v>228</v>
      </c>
      <c r="IX39" s="75" t="s">
        <v>228</v>
      </c>
      <c r="IY39" s="75" t="s">
        <v>234</v>
      </c>
      <c r="IZ39" s="75" t="s">
        <v>228</v>
      </c>
      <c r="JA39" s="75" t="s">
        <v>228</v>
      </c>
      <c r="JB39" s="81"/>
      <c r="JC39" s="81" t="s">
        <v>234</v>
      </c>
      <c r="JD39" s="81" t="s">
        <v>228</v>
      </c>
      <c r="JE39" s="81" t="s">
        <v>234</v>
      </c>
      <c r="JF39" s="81" t="s">
        <v>266</v>
      </c>
      <c r="JG39" s="81" t="s">
        <v>266</v>
      </c>
      <c r="JH39" s="81" t="s">
        <v>266</v>
      </c>
      <c r="JI39" s="81" t="s">
        <v>266</v>
      </c>
      <c r="JJ39" s="81" t="s">
        <v>234</v>
      </c>
      <c r="JK39" s="81" t="s">
        <v>234</v>
      </c>
      <c r="JL39" s="81"/>
      <c r="JM39" s="75" t="s">
        <v>228</v>
      </c>
      <c r="JN39" s="75" t="s">
        <v>234</v>
      </c>
      <c r="JO39" s="75" t="s">
        <v>228</v>
      </c>
      <c r="JP39" s="81"/>
      <c r="JQ39" s="75" t="s">
        <v>228</v>
      </c>
      <c r="JR39" s="75" t="s">
        <v>234</v>
      </c>
      <c r="JS39" s="75" t="s">
        <v>234</v>
      </c>
      <c r="JT39" s="75" t="s">
        <v>234</v>
      </c>
      <c r="JU39" s="75" t="s">
        <v>228</v>
      </c>
      <c r="JV39" s="75" t="s">
        <v>228</v>
      </c>
    </row>
    <row r="40" spans="1:282" x14ac:dyDescent="0.15">
      <c r="A40" s="214" t="s">
        <v>69</v>
      </c>
      <c r="B40" s="6" t="s">
        <v>485</v>
      </c>
      <c r="C40" s="6">
        <v>100000</v>
      </c>
      <c r="D40" s="6">
        <v>4</v>
      </c>
      <c r="E40" s="6">
        <v>7</v>
      </c>
      <c r="F40" s="6">
        <v>3</v>
      </c>
      <c r="G40" s="6" t="s">
        <v>59</v>
      </c>
      <c r="H40" s="6" t="s">
        <v>37</v>
      </c>
      <c r="I40" s="6" t="s">
        <v>46</v>
      </c>
      <c r="J40" s="21" t="s">
        <v>70</v>
      </c>
      <c r="K40" s="21">
        <v>1</v>
      </c>
      <c r="L40" s="21">
        <v>1</v>
      </c>
      <c r="M40" s="21">
        <v>2</v>
      </c>
      <c r="N40" s="21">
        <v>2</v>
      </c>
      <c r="O40" s="21">
        <v>0</v>
      </c>
      <c r="P40" s="21" t="str">
        <f>IF(TeamT[[#This Row],[General]]+TeamT[[#This Row],[Agility]]+TeamT[[#This Row],[Strength]]+TeamT[[#This Row],[Passing]]+TeamT[[#This Row],[Mutation]]&gt;0,IF(TeamT[[#This Row],[General]]=1,"G","")&amp;IF(TeamT[[#This Row],[Agility]]=1,"A","")&amp;IF(TeamT[[#This Row],[Strength]]=1,"S","")&amp;IF(TeamT[[#This Row],[Passing]]=1,"P","")&amp;IF(TeamT[[#This Row],[Mutation]]=1,"M",""),"Star")</f>
        <v>GA</v>
      </c>
      <c r="Q40" s="21" t="str">
        <f>IF(TeamT[[#This Row],[General]]=2,"G","")&amp;IF(TeamT[[#This Row],[Agility]]=2,"A","")&amp;IF(TeamT[[#This Row],[Strength]]=2,"S","")&amp;IF(TeamT[[#This Row],[Passing]]=2,"P","")&amp;IF(TeamT[[#This Row],[Mutation]]=2,"M","")</f>
        <v>SP</v>
      </c>
      <c r="R40" s="212"/>
      <c r="S40" s="21">
        <v>2</v>
      </c>
      <c r="T40" s="21">
        <v>4</v>
      </c>
      <c r="U40" s="21">
        <v>9</v>
      </c>
      <c r="AA40" s="76" t="e">
        <f>HLOOKUP(Roster!$E$5,Team!$BL$2:$MK$128,39,FALSE)</f>
        <v>#N/A</v>
      </c>
      <c r="AB40" s="76" t="e">
        <f>HLOOKUP(Roster!$E$6,Team!$BL$2:$MK$128,39,FALSE)</f>
        <v>#N/A</v>
      </c>
      <c r="AC40" s="76" t="e">
        <f>HLOOKUP(Roster!$E$7,Team!$BL$2:$MK$128,39,FALSE)</f>
        <v>#N/A</v>
      </c>
      <c r="AD40" s="76" t="e">
        <f>HLOOKUP(Roster!$E$8,Team!$BL$2:$MK$128,39,FALSE)</f>
        <v>#N/A</v>
      </c>
      <c r="AE40" s="76" t="e">
        <f>HLOOKUP(Roster!$E$9,Team!$BL$2:$MK$128,39,FALSE)</f>
        <v>#N/A</v>
      </c>
      <c r="AF40" s="76" t="e">
        <f>HLOOKUP(Roster!$E$10,Team!$BL$2:$MK$128,39,FALSE)</f>
        <v>#N/A</v>
      </c>
      <c r="AG40" s="76" t="e">
        <f>HLOOKUP(Roster!$E$11,Team!$BL$2:$MK$128,39,FALSE)</f>
        <v>#N/A</v>
      </c>
      <c r="AH40" s="76" t="e">
        <f>HLOOKUP(Roster!$E$12,Team!$BL$2:$MK$128,39,FALSE)</f>
        <v>#N/A</v>
      </c>
      <c r="AI40" s="76" t="e">
        <f>HLOOKUP(Roster!$E$13,Team!$BL$2:$MK$128,39,FALSE)</f>
        <v>#N/A</v>
      </c>
      <c r="AJ40" s="76" t="e">
        <f>HLOOKUP(Roster!$E$14,Team!$BL$2:$MK$128,39,FALSE)</f>
        <v>#N/A</v>
      </c>
      <c r="AK40" s="76" t="e">
        <f>HLOOKUP(Roster!$E$15,Team!$BL$2:$MK$128,39,FALSE)</f>
        <v>#N/A</v>
      </c>
      <c r="AL40" s="76" t="e">
        <f>HLOOKUP(Roster!$E$16,Team!$BL$2:$MK$128,39,FALSE)</f>
        <v>#N/A</v>
      </c>
      <c r="AM40" s="76" t="e">
        <f>HLOOKUP(Roster!$E$17,Team!$BL$2:$MK$128,39,FALSE)</f>
        <v>#N/A</v>
      </c>
      <c r="AN40" s="76" t="e">
        <f>HLOOKUP(Roster!$E$18,Team!$BL$2:$MK$128,39,FALSE)</f>
        <v>#N/A</v>
      </c>
      <c r="AO40" s="76" t="e">
        <f>HLOOKUP(Roster!$E$19,Team!$BL$2:$MK$128,39,FALSE)</f>
        <v>#N/A</v>
      </c>
      <c r="AP40" s="76" t="e">
        <f>HLOOKUP(Roster!$E$20,Team!$BL$2:$MK$128,39,FALSE)</f>
        <v>#N/A</v>
      </c>
      <c r="AR40" s="108">
        <f t="shared" si="1"/>
        <v>0</v>
      </c>
      <c r="AS40" s="108">
        <f t="shared" si="2"/>
        <v>0</v>
      </c>
      <c r="AT40" s="108">
        <f t="shared" si="3"/>
        <v>0</v>
      </c>
      <c r="AU40" s="108">
        <f t="shared" si="4"/>
        <v>0</v>
      </c>
      <c r="AV40" s="108">
        <f t="shared" si="5"/>
        <v>0</v>
      </c>
      <c r="AW40" s="108">
        <f t="shared" si="6"/>
        <v>0</v>
      </c>
      <c r="AX40" s="108">
        <f t="shared" si="7"/>
        <v>0</v>
      </c>
      <c r="AY40" s="108">
        <f t="shared" si="8"/>
        <v>0</v>
      </c>
      <c r="AZ40" s="108">
        <f t="shared" si="9"/>
        <v>0</v>
      </c>
      <c r="BA40" s="108">
        <f t="shared" si="10"/>
        <v>0</v>
      </c>
      <c r="BB40" s="108">
        <f t="shared" si="11"/>
        <v>0</v>
      </c>
      <c r="BC40" s="108">
        <f t="shared" si="12"/>
        <v>0</v>
      </c>
      <c r="BD40" s="108">
        <f t="shared" si="13"/>
        <v>0</v>
      </c>
      <c r="BE40" s="108">
        <f t="shared" si="14"/>
        <v>0</v>
      </c>
      <c r="BF40" s="108">
        <f t="shared" si="15"/>
        <v>0</v>
      </c>
      <c r="BG40" s="108">
        <f t="shared" si="16"/>
        <v>0</v>
      </c>
      <c r="BL40" s="74" t="s">
        <v>260</v>
      </c>
      <c r="BM40" s="75" t="s">
        <v>235</v>
      </c>
      <c r="BN40" s="74" t="s">
        <v>260</v>
      </c>
      <c r="BO40" s="74" t="s">
        <v>260</v>
      </c>
      <c r="BP40" s="74" t="s">
        <v>260</v>
      </c>
      <c r="BQ40" s="75"/>
      <c r="BR40" s="75" t="s">
        <v>235</v>
      </c>
      <c r="BS40" s="75" t="s">
        <v>235</v>
      </c>
      <c r="BT40" s="75" t="s">
        <v>235</v>
      </c>
      <c r="BU40" s="75" t="s">
        <v>235</v>
      </c>
      <c r="BV40" s="75"/>
      <c r="BW40" s="81" t="s">
        <v>267</v>
      </c>
      <c r="BX40" s="81" t="s">
        <v>235</v>
      </c>
      <c r="BY40" s="81" t="s">
        <v>235</v>
      </c>
      <c r="BZ40" s="81" t="s">
        <v>235</v>
      </c>
      <c r="CA40" s="81" t="s">
        <v>235</v>
      </c>
      <c r="CB40" s="81" t="s">
        <v>267</v>
      </c>
      <c r="CC40" s="77"/>
      <c r="CD40" s="74" t="s">
        <v>260</v>
      </c>
      <c r="CE40" s="81" t="s">
        <v>235</v>
      </c>
      <c r="CF40" s="74" t="s">
        <v>260</v>
      </c>
      <c r="CG40" s="81" t="s">
        <v>235</v>
      </c>
      <c r="CH40" s="74" t="s">
        <v>260</v>
      </c>
      <c r="CI40" s="77"/>
      <c r="CJ40" s="81" t="s">
        <v>235</v>
      </c>
      <c r="CK40" s="81" t="s">
        <v>267</v>
      </c>
      <c r="CL40" s="81" t="s">
        <v>235</v>
      </c>
      <c r="CM40" s="81" t="s">
        <v>235</v>
      </c>
      <c r="CN40" s="81" t="s">
        <v>235</v>
      </c>
      <c r="CO40" s="81" t="s">
        <v>267</v>
      </c>
      <c r="CP40" s="81" t="s">
        <v>235</v>
      </c>
      <c r="CQ40" s="81" t="s">
        <v>235</v>
      </c>
      <c r="CR40" s="81" t="s">
        <v>235</v>
      </c>
      <c r="CS40" s="81" t="s">
        <v>235</v>
      </c>
      <c r="CT40" s="81" t="s">
        <v>235</v>
      </c>
      <c r="CU40" s="81"/>
      <c r="CV40" s="75" t="s">
        <v>235</v>
      </c>
      <c r="CW40" s="75" t="s">
        <v>235</v>
      </c>
      <c r="CX40" s="75" t="s">
        <v>235</v>
      </c>
      <c r="CY40" s="75" t="s">
        <v>235</v>
      </c>
      <c r="CZ40" s="75" t="s">
        <v>235</v>
      </c>
      <c r="DA40" s="81"/>
      <c r="DB40" s="74" t="s">
        <v>260</v>
      </c>
      <c r="DC40" s="75" t="s">
        <v>235</v>
      </c>
      <c r="DD40" s="75" t="s">
        <v>235</v>
      </c>
      <c r="DE40" s="75" t="s">
        <v>235</v>
      </c>
      <c r="DF40" s="75" t="s">
        <v>235</v>
      </c>
      <c r="DG40" s="74" t="s">
        <v>260</v>
      </c>
      <c r="DH40" s="74"/>
      <c r="DI40" s="74" t="s">
        <v>260</v>
      </c>
      <c r="DJ40" s="75" t="s">
        <v>235</v>
      </c>
      <c r="DK40" s="75" t="s">
        <v>235</v>
      </c>
      <c r="DL40" s="74" t="s">
        <v>260</v>
      </c>
      <c r="DM40" s="74" t="s">
        <v>260</v>
      </c>
      <c r="DN40" s="74" t="s">
        <v>260</v>
      </c>
      <c r="DO40" s="74"/>
      <c r="DP40" s="74" t="s">
        <v>260</v>
      </c>
      <c r="DQ40" s="75" t="s">
        <v>235</v>
      </c>
      <c r="DR40" s="74" t="s">
        <v>260</v>
      </c>
      <c r="DS40" s="75" t="s">
        <v>235</v>
      </c>
      <c r="DT40" s="74" t="s">
        <v>260</v>
      </c>
      <c r="DU40" s="74"/>
      <c r="DV40" s="75" t="s">
        <v>235</v>
      </c>
      <c r="DW40" s="75" t="s">
        <v>235</v>
      </c>
      <c r="DX40" s="74" t="s">
        <v>260</v>
      </c>
      <c r="DY40" s="74" t="s">
        <v>260</v>
      </c>
      <c r="DZ40" s="75" t="s">
        <v>235</v>
      </c>
      <c r="EA40" s="75" t="s">
        <v>235</v>
      </c>
      <c r="EB40" s="74" t="s">
        <v>260</v>
      </c>
      <c r="EC40" s="75" t="s">
        <v>235</v>
      </c>
      <c r="ED40" s="75" t="s">
        <v>235</v>
      </c>
      <c r="EE40" s="75"/>
      <c r="EF40" s="74" t="s">
        <v>260</v>
      </c>
      <c r="EG40" s="75" t="s">
        <v>235</v>
      </c>
      <c r="EH40" s="74" t="s">
        <v>260</v>
      </c>
      <c r="EI40" s="75" t="s">
        <v>235</v>
      </c>
      <c r="EJ40" s="74" t="s">
        <v>260</v>
      </c>
      <c r="EK40" s="74"/>
      <c r="EL40" s="75" t="s">
        <v>235</v>
      </c>
      <c r="EM40" s="75" t="s">
        <v>235</v>
      </c>
      <c r="EN40" s="74" t="s">
        <v>260</v>
      </c>
      <c r="EO40" s="75" t="s">
        <v>235</v>
      </c>
      <c r="EP40" s="75" t="s">
        <v>235</v>
      </c>
      <c r="EQ40" s="74"/>
      <c r="ER40" s="74" t="s">
        <v>260</v>
      </c>
      <c r="ES40" s="75" t="s">
        <v>235</v>
      </c>
      <c r="ET40" s="75" t="s">
        <v>235</v>
      </c>
      <c r="EU40" s="75" t="s">
        <v>235</v>
      </c>
      <c r="EV40" s="74" t="s">
        <v>260</v>
      </c>
      <c r="EW40" s="74" t="s">
        <v>260</v>
      </c>
      <c r="EX40" s="74" t="s">
        <v>260</v>
      </c>
      <c r="EY40" s="74"/>
      <c r="EZ40" s="74" t="s">
        <v>260</v>
      </c>
      <c r="FA40" s="75" t="s">
        <v>235</v>
      </c>
      <c r="FB40" s="75" t="s">
        <v>235</v>
      </c>
      <c r="FC40" s="74" t="s">
        <v>260</v>
      </c>
      <c r="FD40" s="74" t="s">
        <v>260</v>
      </c>
      <c r="FE40" s="74" t="s">
        <v>260</v>
      </c>
      <c r="FF40" s="74"/>
      <c r="FG40" s="81" t="s">
        <v>235</v>
      </c>
      <c r="FH40" s="81" t="s">
        <v>267</v>
      </c>
      <c r="FI40" s="81" t="s">
        <v>235</v>
      </c>
      <c r="FJ40" s="81" t="s">
        <v>235</v>
      </c>
      <c r="FK40" s="81" t="s">
        <v>235</v>
      </c>
      <c r="FL40" s="74"/>
      <c r="FM40" s="75" t="s">
        <v>235</v>
      </c>
      <c r="FN40" s="75" t="s">
        <v>235</v>
      </c>
      <c r="FO40" s="74" t="s">
        <v>260</v>
      </c>
      <c r="FP40" s="74" t="s">
        <v>260</v>
      </c>
      <c r="FQ40" s="75" t="s">
        <v>235</v>
      </c>
      <c r="FR40" s="75"/>
      <c r="FS40" s="74" t="s">
        <v>260</v>
      </c>
      <c r="FT40" s="75" t="s">
        <v>235</v>
      </c>
      <c r="FU40" s="74" t="s">
        <v>260</v>
      </c>
      <c r="FV40" s="75" t="s">
        <v>235</v>
      </c>
      <c r="FW40" s="74" t="s">
        <v>260</v>
      </c>
      <c r="FX40" s="74" t="s">
        <v>260</v>
      </c>
      <c r="FY40" s="74"/>
      <c r="FZ40" s="75" t="s">
        <v>235</v>
      </c>
      <c r="GA40" s="75"/>
      <c r="GB40" s="75" t="s">
        <v>235</v>
      </c>
      <c r="GC40" s="75" t="s">
        <v>235</v>
      </c>
      <c r="GD40" s="74" t="s">
        <v>260</v>
      </c>
      <c r="GE40" s="74" t="s">
        <v>260</v>
      </c>
      <c r="GF40" s="75" t="s">
        <v>235</v>
      </c>
      <c r="GG40" s="74"/>
      <c r="GH40" s="81" t="s">
        <v>235</v>
      </c>
      <c r="GI40" s="81" t="s">
        <v>267</v>
      </c>
      <c r="GJ40" s="81" t="s">
        <v>235</v>
      </c>
      <c r="GK40" s="81" t="s">
        <v>235</v>
      </c>
      <c r="GL40" s="81" t="s">
        <v>235</v>
      </c>
      <c r="GM40" s="81"/>
      <c r="GN40" s="81" t="s">
        <v>347</v>
      </c>
      <c r="GO40" s="75" t="s">
        <v>235</v>
      </c>
      <c r="GP40" s="75" t="s">
        <v>235</v>
      </c>
      <c r="GQ40" s="81" t="s">
        <v>347</v>
      </c>
      <c r="GR40" s="81"/>
      <c r="GS40" s="74" t="s">
        <v>260</v>
      </c>
      <c r="GT40" s="75" t="s">
        <v>235</v>
      </c>
      <c r="GU40" s="74" t="s">
        <v>260</v>
      </c>
      <c r="GV40" s="74" t="s">
        <v>260</v>
      </c>
      <c r="GW40" s="74" t="s">
        <v>260</v>
      </c>
      <c r="GX40" s="75" t="s">
        <v>235</v>
      </c>
      <c r="GY40" s="74" t="s">
        <v>260</v>
      </c>
      <c r="GZ40" s="74" t="s">
        <v>260</v>
      </c>
      <c r="HA40" s="74" t="s">
        <v>260</v>
      </c>
      <c r="HB40" s="74" t="s">
        <v>260</v>
      </c>
      <c r="HC40" s="75" t="s">
        <v>235</v>
      </c>
      <c r="HD40" s="74" t="s">
        <v>260</v>
      </c>
      <c r="HE40" s="74"/>
      <c r="HF40" s="74" t="s">
        <v>260</v>
      </c>
      <c r="HG40" s="75" t="s">
        <v>235</v>
      </c>
      <c r="HH40" s="75" t="s">
        <v>235</v>
      </c>
      <c r="HI40" s="74" t="s">
        <v>260</v>
      </c>
      <c r="HJ40" s="74" t="s">
        <v>260</v>
      </c>
      <c r="HK40" s="75" t="s">
        <v>235</v>
      </c>
      <c r="HL40" s="74" t="s">
        <v>260</v>
      </c>
      <c r="HM40" s="74"/>
      <c r="HN40" s="74" t="s">
        <v>260</v>
      </c>
      <c r="HO40" s="74" t="s">
        <v>260</v>
      </c>
      <c r="HP40" s="75" t="s">
        <v>235</v>
      </c>
      <c r="HQ40" s="75" t="s">
        <v>235</v>
      </c>
      <c r="HR40" s="74" t="s">
        <v>260</v>
      </c>
      <c r="HS40" s="74" t="s">
        <v>260</v>
      </c>
      <c r="HT40" s="74"/>
      <c r="HU40" s="74" t="s">
        <v>260</v>
      </c>
      <c r="HV40" s="75" t="s">
        <v>235</v>
      </c>
      <c r="HW40" s="74" t="s">
        <v>260</v>
      </c>
      <c r="HX40" s="74" t="s">
        <v>260</v>
      </c>
      <c r="HY40" s="74" t="s">
        <v>260</v>
      </c>
      <c r="HZ40" s="74" t="s">
        <v>260</v>
      </c>
      <c r="IA40" s="74"/>
      <c r="IB40" s="81" t="s">
        <v>235</v>
      </c>
      <c r="IC40" s="81" t="s">
        <v>267</v>
      </c>
      <c r="ID40" s="81" t="s">
        <v>267</v>
      </c>
      <c r="IE40" s="81" t="s">
        <v>267</v>
      </c>
      <c r="IF40" s="81" t="s">
        <v>235</v>
      </c>
      <c r="IG40" s="81" t="s">
        <v>235</v>
      </c>
      <c r="IH40" s="81"/>
      <c r="II40" s="75" t="s">
        <v>235</v>
      </c>
      <c r="IJ40" s="75" t="s">
        <v>235</v>
      </c>
      <c r="IK40" s="75" t="s">
        <v>235</v>
      </c>
      <c r="IL40" s="75" t="s">
        <v>235</v>
      </c>
      <c r="IM40" s="75" t="s">
        <v>235</v>
      </c>
      <c r="IN40" s="81"/>
      <c r="IO40" s="81" t="s">
        <v>347</v>
      </c>
      <c r="IP40" s="74" t="s">
        <v>260</v>
      </c>
      <c r="IQ40" s="81" t="s">
        <v>347</v>
      </c>
      <c r="IR40" s="81" t="s">
        <v>347</v>
      </c>
      <c r="IS40" s="74" t="s">
        <v>260</v>
      </c>
      <c r="IT40" s="75" t="s">
        <v>235</v>
      </c>
      <c r="IU40" s="81" t="s">
        <v>347</v>
      </c>
      <c r="IV40" s="81"/>
      <c r="IW40" s="74" t="s">
        <v>260</v>
      </c>
      <c r="IX40" s="74" t="s">
        <v>260</v>
      </c>
      <c r="IY40" s="75" t="s">
        <v>235</v>
      </c>
      <c r="IZ40" s="74" t="s">
        <v>260</v>
      </c>
      <c r="JA40" s="74" t="s">
        <v>260</v>
      </c>
      <c r="JB40" s="81"/>
      <c r="JC40" s="81" t="s">
        <v>235</v>
      </c>
      <c r="JD40" s="80" t="s">
        <v>260</v>
      </c>
      <c r="JE40" s="81" t="s">
        <v>235</v>
      </c>
      <c r="JF40" s="81" t="s">
        <v>267</v>
      </c>
      <c r="JG40" s="81" t="s">
        <v>267</v>
      </c>
      <c r="JH40" s="81" t="s">
        <v>267</v>
      </c>
      <c r="JI40" s="81" t="s">
        <v>267</v>
      </c>
      <c r="JJ40" s="81" t="s">
        <v>235</v>
      </c>
      <c r="JK40" s="81" t="s">
        <v>235</v>
      </c>
      <c r="JL40" s="81"/>
      <c r="JM40" s="74" t="s">
        <v>260</v>
      </c>
      <c r="JN40" s="75" t="s">
        <v>235</v>
      </c>
      <c r="JO40" s="74" t="s">
        <v>260</v>
      </c>
      <c r="JP40" s="81"/>
      <c r="JQ40" s="74" t="s">
        <v>260</v>
      </c>
      <c r="JR40" s="75" t="s">
        <v>235</v>
      </c>
      <c r="JS40" s="75" t="s">
        <v>235</v>
      </c>
      <c r="JT40" s="75" t="s">
        <v>235</v>
      </c>
      <c r="JU40" s="74" t="s">
        <v>260</v>
      </c>
      <c r="JV40" s="74" t="s">
        <v>260</v>
      </c>
    </row>
    <row r="41" spans="1:282" x14ac:dyDescent="0.15">
      <c r="A41" s="214" t="s">
        <v>513</v>
      </c>
      <c r="B41" s="6" t="s">
        <v>485</v>
      </c>
      <c r="C41" s="6">
        <v>85000</v>
      </c>
      <c r="D41" s="6">
        <v>2</v>
      </c>
      <c r="E41" s="6">
        <v>7</v>
      </c>
      <c r="F41" s="6">
        <v>3</v>
      </c>
      <c r="G41" s="6" t="s">
        <v>59</v>
      </c>
      <c r="H41" s="6" t="s">
        <v>40</v>
      </c>
      <c r="I41" s="6" t="s">
        <v>38</v>
      </c>
      <c r="J41" s="21" t="s">
        <v>71</v>
      </c>
      <c r="K41" s="21">
        <v>1</v>
      </c>
      <c r="L41" s="21">
        <v>1</v>
      </c>
      <c r="M41" s="21">
        <v>2</v>
      </c>
      <c r="N41" s="21">
        <v>2</v>
      </c>
      <c r="O41" s="21">
        <v>0</v>
      </c>
      <c r="P41" s="21" t="str">
        <f>IF(TeamT[[#This Row],[General]]+TeamT[[#This Row],[Agility]]+TeamT[[#This Row],[Strength]]+TeamT[[#This Row],[Passing]]+TeamT[[#This Row],[Mutation]]&gt;0,IF(TeamT[[#This Row],[General]]=1,"G","")&amp;IF(TeamT[[#This Row],[Agility]]=1,"A","")&amp;IF(TeamT[[#This Row],[Strength]]=1,"S","")&amp;IF(TeamT[[#This Row],[Passing]]=1,"P","")&amp;IF(TeamT[[#This Row],[Mutation]]=1,"M",""),"Star")</f>
        <v>GA</v>
      </c>
      <c r="Q41" s="21" t="str">
        <f>IF(TeamT[[#This Row],[General]]=2,"G","")&amp;IF(TeamT[[#This Row],[Agility]]=2,"A","")&amp;IF(TeamT[[#This Row],[Strength]]=2,"S","")&amp;IF(TeamT[[#This Row],[Passing]]=2,"P","")&amp;IF(TeamT[[#This Row],[Mutation]]=2,"M","")</f>
        <v>SP</v>
      </c>
      <c r="R41" s="212"/>
      <c r="S41" s="21">
        <v>2</v>
      </c>
      <c r="T41" s="21">
        <v>5</v>
      </c>
      <c r="U41" s="21">
        <v>8</v>
      </c>
      <c r="AA41" s="76" t="e">
        <f>HLOOKUP(Roster!$E$5,Team!$BL$2:$MK$128,40,FALSE)</f>
        <v>#N/A</v>
      </c>
      <c r="AB41" s="76" t="e">
        <f>HLOOKUP(Roster!$E$6,Team!$BL$2:$MK$128,40,FALSE)</f>
        <v>#N/A</v>
      </c>
      <c r="AC41" s="76" t="e">
        <f>HLOOKUP(Roster!$E$7,Team!$BL$2:$MK$128,40,FALSE)</f>
        <v>#N/A</v>
      </c>
      <c r="AD41" s="76" t="e">
        <f>HLOOKUP(Roster!$E$8,Team!$BL$2:$MK$128,40,FALSE)</f>
        <v>#N/A</v>
      </c>
      <c r="AE41" s="76" t="e">
        <f>HLOOKUP(Roster!$E$9,Team!$BL$2:$MK$128,40,FALSE)</f>
        <v>#N/A</v>
      </c>
      <c r="AF41" s="76" t="e">
        <f>HLOOKUP(Roster!$E$10,Team!$BL$2:$MK$128,40,FALSE)</f>
        <v>#N/A</v>
      </c>
      <c r="AG41" s="76" t="e">
        <f>HLOOKUP(Roster!$E$11,Team!$BL$2:$MK$128,40,FALSE)</f>
        <v>#N/A</v>
      </c>
      <c r="AH41" s="76" t="e">
        <f>HLOOKUP(Roster!$E$12,Team!$BL$2:$MK$128,40,FALSE)</f>
        <v>#N/A</v>
      </c>
      <c r="AI41" s="76" t="e">
        <f>HLOOKUP(Roster!$E$13,Team!$BL$2:$MK$128,40,FALSE)</f>
        <v>#N/A</v>
      </c>
      <c r="AJ41" s="76" t="e">
        <f>HLOOKUP(Roster!$E$14,Team!$BL$2:$MK$128,40,FALSE)</f>
        <v>#N/A</v>
      </c>
      <c r="AK41" s="76" t="e">
        <f>HLOOKUP(Roster!$E$15,Team!$BL$2:$MK$128,40,FALSE)</f>
        <v>#N/A</v>
      </c>
      <c r="AL41" s="76" t="e">
        <f>HLOOKUP(Roster!$E$16,Team!$BL$2:$MK$128,40,FALSE)</f>
        <v>#N/A</v>
      </c>
      <c r="AM41" s="76" t="e">
        <f>HLOOKUP(Roster!$E$17,Team!$BL$2:$MK$128,40,FALSE)</f>
        <v>#N/A</v>
      </c>
      <c r="AN41" s="76" t="e">
        <f>HLOOKUP(Roster!$E$18,Team!$BL$2:$MK$128,40,FALSE)</f>
        <v>#N/A</v>
      </c>
      <c r="AO41" s="76" t="e">
        <f>HLOOKUP(Roster!$E$19,Team!$BL$2:$MK$128,40,FALSE)</f>
        <v>#N/A</v>
      </c>
      <c r="AP41" s="76" t="e">
        <f>HLOOKUP(Roster!$E$20,Team!$BL$2:$MK$128,40,FALSE)</f>
        <v>#N/A</v>
      </c>
      <c r="AR41" s="108">
        <f t="shared" si="1"/>
        <v>0</v>
      </c>
      <c r="AS41" s="108">
        <f t="shared" si="2"/>
        <v>0</v>
      </c>
      <c r="AT41" s="108">
        <f t="shared" si="3"/>
        <v>0</v>
      </c>
      <c r="AU41" s="108">
        <f t="shared" si="4"/>
        <v>0</v>
      </c>
      <c r="AV41" s="108">
        <f t="shared" si="5"/>
        <v>0</v>
      </c>
      <c r="AW41" s="108">
        <f t="shared" si="6"/>
        <v>0</v>
      </c>
      <c r="AX41" s="108">
        <f t="shared" si="7"/>
        <v>0</v>
      </c>
      <c r="AY41" s="108">
        <f t="shared" si="8"/>
        <v>0</v>
      </c>
      <c r="AZ41" s="108">
        <f t="shared" si="9"/>
        <v>0</v>
      </c>
      <c r="BA41" s="108">
        <f t="shared" si="10"/>
        <v>0</v>
      </c>
      <c r="BB41" s="108">
        <f t="shared" si="11"/>
        <v>0</v>
      </c>
      <c r="BC41" s="108">
        <f t="shared" si="12"/>
        <v>0</v>
      </c>
      <c r="BD41" s="108">
        <f t="shared" si="13"/>
        <v>0</v>
      </c>
      <c r="BE41" s="108">
        <f t="shared" si="14"/>
        <v>0</v>
      </c>
      <c r="BF41" s="108">
        <f t="shared" si="15"/>
        <v>0</v>
      </c>
      <c r="BG41" s="108">
        <f t="shared" si="16"/>
        <v>0</v>
      </c>
      <c r="BL41" s="75" t="s">
        <v>229</v>
      </c>
      <c r="BM41" s="75" t="s">
        <v>236</v>
      </c>
      <c r="BN41" s="75" t="s">
        <v>229</v>
      </c>
      <c r="BO41" s="75" t="s">
        <v>229</v>
      </c>
      <c r="BP41" s="75" t="s">
        <v>229</v>
      </c>
      <c r="BQ41" s="75"/>
      <c r="BR41" s="75" t="s">
        <v>236</v>
      </c>
      <c r="BS41" s="75" t="s">
        <v>236</v>
      </c>
      <c r="BT41" s="75" t="s">
        <v>236</v>
      </c>
      <c r="BU41" s="75" t="s">
        <v>236</v>
      </c>
      <c r="BV41" s="75"/>
      <c r="BW41" s="81" t="s">
        <v>243</v>
      </c>
      <c r="BX41" s="81" t="s">
        <v>236</v>
      </c>
      <c r="BY41" s="81" t="s">
        <v>236</v>
      </c>
      <c r="BZ41" s="81" t="s">
        <v>236</v>
      </c>
      <c r="CA41" s="81" t="s">
        <v>236</v>
      </c>
      <c r="CB41" s="81" t="s">
        <v>243</v>
      </c>
      <c r="CC41" s="77"/>
      <c r="CD41" s="75" t="s">
        <v>229</v>
      </c>
      <c r="CE41" s="81" t="s">
        <v>236</v>
      </c>
      <c r="CF41" s="75" t="s">
        <v>229</v>
      </c>
      <c r="CG41" s="81" t="s">
        <v>236</v>
      </c>
      <c r="CH41" s="75" t="s">
        <v>229</v>
      </c>
      <c r="CI41" s="77"/>
      <c r="CJ41" s="81" t="s">
        <v>236</v>
      </c>
      <c r="CK41" s="81" t="s">
        <v>243</v>
      </c>
      <c r="CL41" s="81" t="s">
        <v>236</v>
      </c>
      <c r="CM41" s="81" t="s">
        <v>236</v>
      </c>
      <c r="CN41" s="81" t="s">
        <v>236</v>
      </c>
      <c r="CO41" s="81" t="s">
        <v>243</v>
      </c>
      <c r="CP41" s="81" t="s">
        <v>236</v>
      </c>
      <c r="CQ41" s="81" t="s">
        <v>236</v>
      </c>
      <c r="CR41" s="81" t="s">
        <v>236</v>
      </c>
      <c r="CS41" s="81" t="s">
        <v>236</v>
      </c>
      <c r="CT41" s="81" t="s">
        <v>236</v>
      </c>
      <c r="CU41" s="81"/>
      <c r="CV41" s="75" t="s">
        <v>236</v>
      </c>
      <c r="CW41" s="75" t="s">
        <v>236</v>
      </c>
      <c r="CX41" s="75" t="s">
        <v>236</v>
      </c>
      <c r="CY41" s="75" t="s">
        <v>236</v>
      </c>
      <c r="CZ41" s="75" t="s">
        <v>236</v>
      </c>
      <c r="DA41" s="81"/>
      <c r="DB41" s="75" t="s">
        <v>229</v>
      </c>
      <c r="DC41" s="75" t="s">
        <v>236</v>
      </c>
      <c r="DD41" s="75" t="s">
        <v>236</v>
      </c>
      <c r="DE41" s="75" t="s">
        <v>236</v>
      </c>
      <c r="DF41" s="75" t="s">
        <v>236</v>
      </c>
      <c r="DG41" s="75" t="s">
        <v>229</v>
      </c>
      <c r="DH41" s="75"/>
      <c r="DI41" s="75" t="s">
        <v>229</v>
      </c>
      <c r="DJ41" s="75" t="s">
        <v>236</v>
      </c>
      <c r="DK41" s="75" t="s">
        <v>236</v>
      </c>
      <c r="DL41" s="75" t="s">
        <v>229</v>
      </c>
      <c r="DM41" s="75" t="s">
        <v>229</v>
      </c>
      <c r="DN41" s="75" t="s">
        <v>229</v>
      </c>
      <c r="DO41" s="75"/>
      <c r="DP41" s="75" t="s">
        <v>229</v>
      </c>
      <c r="DQ41" s="75" t="s">
        <v>236</v>
      </c>
      <c r="DR41" s="75" t="s">
        <v>229</v>
      </c>
      <c r="DS41" s="75" t="s">
        <v>236</v>
      </c>
      <c r="DT41" s="75" t="s">
        <v>229</v>
      </c>
      <c r="DU41" s="75"/>
      <c r="DV41" s="75" t="s">
        <v>236</v>
      </c>
      <c r="DW41" s="75" t="s">
        <v>236</v>
      </c>
      <c r="DX41" s="75" t="s">
        <v>229</v>
      </c>
      <c r="DY41" s="75" t="s">
        <v>229</v>
      </c>
      <c r="DZ41" s="75" t="s">
        <v>236</v>
      </c>
      <c r="EA41" s="75" t="s">
        <v>236</v>
      </c>
      <c r="EB41" s="75" t="s">
        <v>229</v>
      </c>
      <c r="EC41" s="75" t="s">
        <v>236</v>
      </c>
      <c r="ED41" s="75" t="s">
        <v>236</v>
      </c>
      <c r="EE41" s="75"/>
      <c r="EF41" s="75" t="s">
        <v>229</v>
      </c>
      <c r="EG41" s="75" t="s">
        <v>236</v>
      </c>
      <c r="EH41" s="75" t="s">
        <v>229</v>
      </c>
      <c r="EI41" s="75" t="s">
        <v>236</v>
      </c>
      <c r="EJ41" s="75" t="s">
        <v>229</v>
      </c>
      <c r="EK41" s="75"/>
      <c r="EL41" s="75" t="s">
        <v>236</v>
      </c>
      <c r="EM41" s="75" t="s">
        <v>236</v>
      </c>
      <c r="EN41" s="75" t="s">
        <v>229</v>
      </c>
      <c r="EO41" s="75" t="s">
        <v>236</v>
      </c>
      <c r="EP41" s="75" t="s">
        <v>236</v>
      </c>
      <c r="EQ41" s="75"/>
      <c r="ER41" s="75" t="s">
        <v>229</v>
      </c>
      <c r="ES41" s="75" t="s">
        <v>236</v>
      </c>
      <c r="ET41" s="75" t="s">
        <v>236</v>
      </c>
      <c r="EU41" s="75" t="s">
        <v>236</v>
      </c>
      <c r="EV41" s="75" t="s">
        <v>229</v>
      </c>
      <c r="EW41" s="75" t="s">
        <v>229</v>
      </c>
      <c r="EX41" s="75" t="s">
        <v>229</v>
      </c>
      <c r="EY41" s="75"/>
      <c r="EZ41" s="75" t="s">
        <v>229</v>
      </c>
      <c r="FA41" s="75" t="s">
        <v>236</v>
      </c>
      <c r="FB41" s="75" t="s">
        <v>236</v>
      </c>
      <c r="FC41" s="75" t="s">
        <v>229</v>
      </c>
      <c r="FD41" s="75" t="s">
        <v>229</v>
      </c>
      <c r="FE41" s="75" t="s">
        <v>229</v>
      </c>
      <c r="FF41" s="75"/>
      <c r="FG41" s="81" t="s">
        <v>236</v>
      </c>
      <c r="FH41" s="81" t="s">
        <v>243</v>
      </c>
      <c r="FI41" s="81" t="s">
        <v>236</v>
      </c>
      <c r="FJ41" s="81" t="s">
        <v>236</v>
      </c>
      <c r="FK41" s="81" t="s">
        <v>236</v>
      </c>
      <c r="FL41" s="75"/>
      <c r="FM41" s="75" t="s">
        <v>236</v>
      </c>
      <c r="FN41" s="75" t="s">
        <v>236</v>
      </c>
      <c r="FO41" s="75" t="s">
        <v>229</v>
      </c>
      <c r="FP41" s="75" t="s">
        <v>229</v>
      </c>
      <c r="FQ41" s="75" t="s">
        <v>236</v>
      </c>
      <c r="FR41" s="75"/>
      <c r="FS41" s="75" t="s">
        <v>229</v>
      </c>
      <c r="FT41" s="75" t="s">
        <v>236</v>
      </c>
      <c r="FU41" s="75" t="s">
        <v>229</v>
      </c>
      <c r="FV41" s="75" t="s">
        <v>236</v>
      </c>
      <c r="FW41" s="75" t="s">
        <v>229</v>
      </c>
      <c r="FX41" s="75" t="s">
        <v>229</v>
      </c>
      <c r="FY41" s="75"/>
      <c r="FZ41" s="75" t="s">
        <v>236</v>
      </c>
      <c r="GA41" s="75"/>
      <c r="GB41" s="75" t="s">
        <v>236</v>
      </c>
      <c r="GC41" s="75" t="s">
        <v>236</v>
      </c>
      <c r="GD41" s="75" t="s">
        <v>229</v>
      </c>
      <c r="GE41" s="75" t="s">
        <v>229</v>
      </c>
      <c r="GF41" s="75" t="s">
        <v>236</v>
      </c>
      <c r="GG41" s="75"/>
      <c r="GH41" s="81" t="s">
        <v>236</v>
      </c>
      <c r="GI41" s="81" t="s">
        <v>243</v>
      </c>
      <c r="GJ41" s="81" t="s">
        <v>236</v>
      </c>
      <c r="GK41" s="81" t="s">
        <v>236</v>
      </c>
      <c r="GL41" s="81" t="s">
        <v>236</v>
      </c>
      <c r="GM41" s="81"/>
      <c r="GN41" s="81" t="s">
        <v>348</v>
      </c>
      <c r="GO41" s="75" t="s">
        <v>236</v>
      </c>
      <c r="GP41" s="75" t="s">
        <v>236</v>
      </c>
      <c r="GQ41" s="81" t="s">
        <v>348</v>
      </c>
      <c r="GR41" s="81"/>
      <c r="GS41" s="75" t="s">
        <v>229</v>
      </c>
      <c r="GT41" s="75" t="s">
        <v>236</v>
      </c>
      <c r="GU41" s="75" t="s">
        <v>229</v>
      </c>
      <c r="GV41" s="75" t="s">
        <v>229</v>
      </c>
      <c r="GW41" s="75" t="s">
        <v>229</v>
      </c>
      <c r="GX41" s="75" t="s">
        <v>236</v>
      </c>
      <c r="GY41" s="75" t="s">
        <v>229</v>
      </c>
      <c r="GZ41" s="75" t="s">
        <v>229</v>
      </c>
      <c r="HA41" s="75" t="s">
        <v>229</v>
      </c>
      <c r="HB41" s="75" t="s">
        <v>229</v>
      </c>
      <c r="HC41" s="75" t="s">
        <v>236</v>
      </c>
      <c r="HD41" s="75" t="s">
        <v>229</v>
      </c>
      <c r="HE41" s="75"/>
      <c r="HF41" s="75" t="s">
        <v>229</v>
      </c>
      <c r="HG41" s="75" t="s">
        <v>236</v>
      </c>
      <c r="HH41" s="75" t="s">
        <v>236</v>
      </c>
      <c r="HI41" s="75" t="s">
        <v>229</v>
      </c>
      <c r="HJ41" s="75" t="s">
        <v>229</v>
      </c>
      <c r="HK41" s="75" t="s">
        <v>236</v>
      </c>
      <c r="HL41" s="75" t="s">
        <v>229</v>
      </c>
      <c r="HM41" s="75"/>
      <c r="HN41" s="75" t="s">
        <v>229</v>
      </c>
      <c r="HO41" s="75" t="s">
        <v>229</v>
      </c>
      <c r="HP41" s="75" t="s">
        <v>236</v>
      </c>
      <c r="HQ41" s="75" t="s">
        <v>236</v>
      </c>
      <c r="HR41" s="75" t="s">
        <v>229</v>
      </c>
      <c r="HS41" s="75" t="s">
        <v>229</v>
      </c>
      <c r="HT41" s="75"/>
      <c r="HU41" s="75" t="s">
        <v>229</v>
      </c>
      <c r="HV41" s="75" t="s">
        <v>236</v>
      </c>
      <c r="HW41" s="75" t="s">
        <v>229</v>
      </c>
      <c r="HX41" s="75" t="s">
        <v>229</v>
      </c>
      <c r="HY41" s="75" t="s">
        <v>229</v>
      </c>
      <c r="HZ41" s="75" t="s">
        <v>229</v>
      </c>
      <c r="IA41" s="75"/>
      <c r="IB41" s="81" t="s">
        <v>236</v>
      </c>
      <c r="IC41" s="81" t="s">
        <v>243</v>
      </c>
      <c r="ID41" s="81" t="s">
        <v>243</v>
      </c>
      <c r="IE41" s="81" t="s">
        <v>243</v>
      </c>
      <c r="IF41" s="81" t="s">
        <v>236</v>
      </c>
      <c r="IG41" s="81" t="s">
        <v>236</v>
      </c>
      <c r="IH41" s="81"/>
      <c r="II41" s="75" t="s">
        <v>236</v>
      </c>
      <c r="IJ41" s="75" t="s">
        <v>236</v>
      </c>
      <c r="IK41" s="75" t="s">
        <v>236</v>
      </c>
      <c r="IL41" s="75" t="s">
        <v>236</v>
      </c>
      <c r="IM41" s="75" t="s">
        <v>236</v>
      </c>
      <c r="IN41" s="81"/>
      <c r="IO41" s="81" t="s">
        <v>348</v>
      </c>
      <c r="IP41" s="75" t="s">
        <v>229</v>
      </c>
      <c r="IQ41" s="81" t="s">
        <v>348</v>
      </c>
      <c r="IR41" s="81" t="s">
        <v>348</v>
      </c>
      <c r="IS41" s="75" t="s">
        <v>229</v>
      </c>
      <c r="IT41" s="75" t="s">
        <v>236</v>
      </c>
      <c r="IU41" s="81" t="s">
        <v>348</v>
      </c>
      <c r="IV41" s="81"/>
      <c r="IW41" s="75" t="s">
        <v>229</v>
      </c>
      <c r="IX41" s="75" t="s">
        <v>229</v>
      </c>
      <c r="IY41" s="75" t="s">
        <v>236</v>
      </c>
      <c r="IZ41" s="75" t="s">
        <v>229</v>
      </c>
      <c r="JA41" s="75" t="s">
        <v>229</v>
      </c>
      <c r="JB41" s="81"/>
      <c r="JC41" s="81" t="s">
        <v>236</v>
      </c>
      <c r="JD41" s="81" t="s">
        <v>229</v>
      </c>
      <c r="JE41" s="81" t="s">
        <v>236</v>
      </c>
      <c r="JF41" s="81" t="s">
        <v>243</v>
      </c>
      <c r="JG41" s="81" t="s">
        <v>243</v>
      </c>
      <c r="JH41" s="81" t="s">
        <v>243</v>
      </c>
      <c r="JI41" s="81" t="s">
        <v>243</v>
      </c>
      <c r="JJ41" s="81" t="s">
        <v>236</v>
      </c>
      <c r="JK41" s="81" t="s">
        <v>236</v>
      </c>
      <c r="JL41" s="81"/>
      <c r="JM41" s="75" t="s">
        <v>229</v>
      </c>
      <c r="JN41" s="75" t="s">
        <v>236</v>
      </c>
      <c r="JO41" s="75" t="s">
        <v>229</v>
      </c>
      <c r="JP41" s="81"/>
      <c r="JQ41" s="75" t="s">
        <v>229</v>
      </c>
      <c r="JR41" s="75" t="s">
        <v>236</v>
      </c>
      <c r="JS41" s="75" t="s">
        <v>236</v>
      </c>
      <c r="JT41" s="75" t="s">
        <v>236</v>
      </c>
      <c r="JU41" s="75" t="s">
        <v>229</v>
      </c>
      <c r="JV41" s="75" t="s">
        <v>229</v>
      </c>
    </row>
    <row r="42" spans="1:282" x14ac:dyDescent="0.15">
      <c r="A42" s="214" t="s">
        <v>72</v>
      </c>
      <c r="B42" s="6" t="s">
        <v>485</v>
      </c>
      <c r="C42" s="6">
        <v>110000</v>
      </c>
      <c r="D42" s="6">
        <v>2</v>
      </c>
      <c r="E42" s="6">
        <v>7</v>
      </c>
      <c r="F42" s="6">
        <v>3</v>
      </c>
      <c r="G42" s="6" t="s">
        <v>59</v>
      </c>
      <c r="H42" s="6" t="s">
        <v>40</v>
      </c>
      <c r="I42" s="6" t="s">
        <v>38</v>
      </c>
      <c r="J42" s="21" t="s">
        <v>73</v>
      </c>
      <c r="K42" s="21">
        <v>1</v>
      </c>
      <c r="L42" s="21">
        <v>1</v>
      </c>
      <c r="M42" s="21">
        <v>2</v>
      </c>
      <c r="N42" s="21">
        <v>2</v>
      </c>
      <c r="O42" s="21">
        <v>0</v>
      </c>
      <c r="P42" s="21" t="str">
        <f>IF(TeamT[[#This Row],[General]]+TeamT[[#This Row],[Agility]]+TeamT[[#This Row],[Strength]]+TeamT[[#This Row],[Passing]]+TeamT[[#This Row],[Mutation]]&gt;0,IF(TeamT[[#This Row],[General]]=1,"G","")&amp;IF(TeamT[[#This Row],[Agility]]=1,"A","")&amp;IF(TeamT[[#This Row],[Strength]]=1,"S","")&amp;IF(TeamT[[#This Row],[Passing]]=1,"P","")&amp;IF(TeamT[[#This Row],[Mutation]]=1,"M",""),"Star")</f>
        <v>GA</v>
      </c>
      <c r="Q42" s="21" t="str">
        <f>IF(TeamT[[#This Row],[General]]=2,"G","")&amp;IF(TeamT[[#This Row],[Agility]]=2,"A","")&amp;IF(TeamT[[#This Row],[Strength]]=2,"S","")&amp;IF(TeamT[[#This Row],[Passing]]=2,"P","")&amp;IF(TeamT[[#This Row],[Mutation]]=2,"M","")</f>
        <v>SP</v>
      </c>
      <c r="R42" s="212"/>
      <c r="S42" s="21">
        <v>2</v>
      </c>
      <c r="T42" s="21">
        <v>5</v>
      </c>
      <c r="U42" s="21">
        <v>8</v>
      </c>
      <c r="AA42" s="76" t="e">
        <f>HLOOKUP(Roster!$E$5,Team!$BL$2:$MK$128,41,FALSE)</f>
        <v>#N/A</v>
      </c>
      <c r="AB42" s="76" t="e">
        <f>HLOOKUP(Roster!$E$6,Team!$BL$2:$MK$128,41,FALSE)</f>
        <v>#N/A</v>
      </c>
      <c r="AC42" s="76" t="e">
        <f>HLOOKUP(Roster!$E$7,Team!$BL$2:$MK$128,41,FALSE)</f>
        <v>#N/A</v>
      </c>
      <c r="AD42" s="76" t="e">
        <f>HLOOKUP(Roster!$E$8,Team!$BL$2:$MK$128,41,FALSE)</f>
        <v>#N/A</v>
      </c>
      <c r="AE42" s="76" t="e">
        <f>HLOOKUP(Roster!$E$9,Team!$BL$2:$MK$128,41,FALSE)</f>
        <v>#N/A</v>
      </c>
      <c r="AF42" s="76" t="e">
        <f>HLOOKUP(Roster!$E$10,Team!$BL$2:$MK$128,41,FALSE)</f>
        <v>#N/A</v>
      </c>
      <c r="AG42" s="76" t="e">
        <f>HLOOKUP(Roster!$E$11,Team!$BL$2:$MK$128,41,FALSE)</f>
        <v>#N/A</v>
      </c>
      <c r="AH42" s="76" t="e">
        <f>HLOOKUP(Roster!$E$12,Team!$BL$2:$MK$128,41,FALSE)</f>
        <v>#N/A</v>
      </c>
      <c r="AI42" s="76" t="e">
        <f>HLOOKUP(Roster!$E$13,Team!$BL$2:$MK$128,41,FALSE)</f>
        <v>#N/A</v>
      </c>
      <c r="AJ42" s="76" t="e">
        <f>HLOOKUP(Roster!$E$14,Team!$BL$2:$MK$128,41,FALSE)</f>
        <v>#N/A</v>
      </c>
      <c r="AK42" s="76" t="e">
        <f>HLOOKUP(Roster!$E$15,Team!$BL$2:$MK$128,41,FALSE)</f>
        <v>#N/A</v>
      </c>
      <c r="AL42" s="76" t="e">
        <f>HLOOKUP(Roster!$E$16,Team!$BL$2:$MK$128,41,FALSE)</f>
        <v>#N/A</v>
      </c>
      <c r="AM42" s="76" t="e">
        <f>HLOOKUP(Roster!$E$17,Team!$BL$2:$MK$128,41,FALSE)</f>
        <v>#N/A</v>
      </c>
      <c r="AN42" s="76" t="e">
        <f>HLOOKUP(Roster!$E$18,Team!$BL$2:$MK$128,41,FALSE)</f>
        <v>#N/A</v>
      </c>
      <c r="AO42" s="76" t="e">
        <f>HLOOKUP(Roster!$E$19,Team!$BL$2:$MK$128,41,FALSE)</f>
        <v>#N/A</v>
      </c>
      <c r="AP42" s="76" t="e">
        <f>HLOOKUP(Roster!$E$20,Team!$BL$2:$MK$128,41,FALSE)</f>
        <v>#N/A</v>
      </c>
      <c r="AR42" s="108">
        <f t="shared" si="1"/>
        <v>0</v>
      </c>
      <c r="AS42" s="108">
        <f t="shared" si="2"/>
        <v>0</v>
      </c>
      <c r="AT42" s="108">
        <f t="shared" si="3"/>
        <v>0</v>
      </c>
      <c r="AU42" s="108">
        <f t="shared" si="4"/>
        <v>0</v>
      </c>
      <c r="AV42" s="108">
        <f t="shared" si="5"/>
        <v>0</v>
      </c>
      <c r="AW42" s="108">
        <f t="shared" si="6"/>
        <v>0</v>
      </c>
      <c r="AX42" s="108">
        <f t="shared" si="7"/>
        <v>0</v>
      </c>
      <c r="AY42" s="108">
        <f t="shared" si="8"/>
        <v>0</v>
      </c>
      <c r="AZ42" s="108">
        <f t="shared" si="9"/>
        <v>0</v>
      </c>
      <c r="BA42" s="108">
        <f t="shared" si="10"/>
        <v>0</v>
      </c>
      <c r="BB42" s="108">
        <f t="shared" si="11"/>
        <v>0</v>
      </c>
      <c r="BC42" s="108">
        <f t="shared" si="12"/>
        <v>0</v>
      </c>
      <c r="BD42" s="108">
        <f t="shared" si="13"/>
        <v>0</v>
      </c>
      <c r="BE42" s="108">
        <f t="shared" si="14"/>
        <v>0</v>
      </c>
      <c r="BF42" s="108">
        <f t="shared" si="15"/>
        <v>0</v>
      </c>
      <c r="BG42" s="108">
        <f t="shared" si="16"/>
        <v>0</v>
      </c>
      <c r="BL42" s="74" t="s">
        <v>261</v>
      </c>
      <c r="BM42" s="75" t="s">
        <v>237</v>
      </c>
      <c r="BN42" s="74" t="s">
        <v>261</v>
      </c>
      <c r="BO42" s="74" t="s">
        <v>261</v>
      </c>
      <c r="BP42" s="74" t="s">
        <v>261</v>
      </c>
      <c r="BQ42" s="75"/>
      <c r="BR42" s="75" t="s">
        <v>237</v>
      </c>
      <c r="BS42" s="75" t="s">
        <v>237</v>
      </c>
      <c r="BT42" s="75" t="s">
        <v>237</v>
      </c>
      <c r="BU42" s="75" t="s">
        <v>237</v>
      </c>
      <c r="BV42" s="75"/>
      <c r="BW42" s="81" t="s">
        <v>244</v>
      </c>
      <c r="BX42" s="81" t="s">
        <v>237</v>
      </c>
      <c r="BY42" s="81" t="s">
        <v>237</v>
      </c>
      <c r="BZ42" s="81" t="s">
        <v>237</v>
      </c>
      <c r="CA42" s="81" t="s">
        <v>237</v>
      </c>
      <c r="CB42" s="81" t="s">
        <v>244</v>
      </c>
      <c r="CC42" s="77"/>
      <c r="CD42" s="74" t="s">
        <v>261</v>
      </c>
      <c r="CE42" s="81" t="s">
        <v>237</v>
      </c>
      <c r="CF42" s="74" t="s">
        <v>261</v>
      </c>
      <c r="CG42" s="81" t="s">
        <v>237</v>
      </c>
      <c r="CH42" s="74" t="s">
        <v>261</v>
      </c>
      <c r="CI42" s="77"/>
      <c r="CJ42" s="81" t="s">
        <v>237</v>
      </c>
      <c r="CK42" s="81" t="s">
        <v>244</v>
      </c>
      <c r="CL42" s="81" t="s">
        <v>237</v>
      </c>
      <c r="CM42" s="81" t="s">
        <v>237</v>
      </c>
      <c r="CN42" s="81" t="s">
        <v>237</v>
      </c>
      <c r="CO42" s="81" t="s">
        <v>244</v>
      </c>
      <c r="CP42" s="81" t="s">
        <v>237</v>
      </c>
      <c r="CQ42" s="81" t="s">
        <v>237</v>
      </c>
      <c r="CR42" s="81" t="s">
        <v>237</v>
      </c>
      <c r="CS42" s="81" t="s">
        <v>237</v>
      </c>
      <c r="CT42" s="81" t="s">
        <v>237</v>
      </c>
      <c r="CU42" s="81"/>
      <c r="CV42" s="75" t="s">
        <v>237</v>
      </c>
      <c r="CW42" s="75" t="s">
        <v>237</v>
      </c>
      <c r="CX42" s="75" t="s">
        <v>237</v>
      </c>
      <c r="CY42" s="75" t="s">
        <v>237</v>
      </c>
      <c r="CZ42" s="75" t="s">
        <v>237</v>
      </c>
      <c r="DA42" s="81"/>
      <c r="DB42" s="74" t="s">
        <v>261</v>
      </c>
      <c r="DC42" s="75" t="s">
        <v>237</v>
      </c>
      <c r="DD42" s="75" t="s">
        <v>237</v>
      </c>
      <c r="DE42" s="75" t="s">
        <v>237</v>
      </c>
      <c r="DF42" s="75" t="s">
        <v>237</v>
      </c>
      <c r="DG42" s="74" t="s">
        <v>261</v>
      </c>
      <c r="DH42" s="74"/>
      <c r="DI42" s="74" t="s">
        <v>261</v>
      </c>
      <c r="DJ42" s="75" t="s">
        <v>237</v>
      </c>
      <c r="DK42" s="75" t="s">
        <v>237</v>
      </c>
      <c r="DL42" s="74" t="s">
        <v>261</v>
      </c>
      <c r="DM42" s="74" t="s">
        <v>261</v>
      </c>
      <c r="DN42" s="74" t="s">
        <v>261</v>
      </c>
      <c r="DO42" s="74"/>
      <c r="DP42" s="74" t="s">
        <v>261</v>
      </c>
      <c r="DQ42" s="75" t="s">
        <v>237</v>
      </c>
      <c r="DR42" s="74" t="s">
        <v>261</v>
      </c>
      <c r="DS42" s="75" t="s">
        <v>237</v>
      </c>
      <c r="DT42" s="74" t="s">
        <v>261</v>
      </c>
      <c r="DU42" s="74"/>
      <c r="DV42" s="75" t="s">
        <v>237</v>
      </c>
      <c r="DW42" s="75" t="s">
        <v>237</v>
      </c>
      <c r="DX42" s="74" t="s">
        <v>261</v>
      </c>
      <c r="DY42" s="74" t="s">
        <v>261</v>
      </c>
      <c r="DZ42" s="75" t="s">
        <v>237</v>
      </c>
      <c r="EA42" s="75" t="s">
        <v>237</v>
      </c>
      <c r="EB42" s="74" t="s">
        <v>261</v>
      </c>
      <c r="EC42" s="75" t="s">
        <v>237</v>
      </c>
      <c r="ED42" s="75" t="s">
        <v>237</v>
      </c>
      <c r="EE42" s="75"/>
      <c r="EF42" s="74" t="s">
        <v>261</v>
      </c>
      <c r="EG42" s="75" t="s">
        <v>237</v>
      </c>
      <c r="EH42" s="74" t="s">
        <v>261</v>
      </c>
      <c r="EI42" s="75" t="s">
        <v>237</v>
      </c>
      <c r="EJ42" s="74" t="s">
        <v>261</v>
      </c>
      <c r="EK42" s="74"/>
      <c r="EL42" s="75" t="s">
        <v>237</v>
      </c>
      <c r="EM42" s="75" t="s">
        <v>237</v>
      </c>
      <c r="EN42" s="74" t="s">
        <v>261</v>
      </c>
      <c r="EO42" s="75" t="s">
        <v>237</v>
      </c>
      <c r="EP42" s="75" t="s">
        <v>237</v>
      </c>
      <c r="EQ42" s="74"/>
      <c r="ER42" s="74" t="s">
        <v>261</v>
      </c>
      <c r="ES42" s="75" t="s">
        <v>237</v>
      </c>
      <c r="ET42" s="75" t="s">
        <v>237</v>
      </c>
      <c r="EU42" s="75" t="s">
        <v>237</v>
      </c>
      <c r="EV42" s="74" t="s">
        <v>261</v>
      </c>
      <c r="EW42" s="74" t="s">
        <v>261</v>
      </c>
      <c r="EX42" s="74" t="s">
        <v>261</v>
      </c>
      <c r="EY42" s="74"/>
      <c r="EZ42" s="74" t="s">
        <v>261</v>
      </c>
      <c r="FA42" s="75" t="s">
        <v>237</v>
      </c>
      <c r="FB42" s="75" t="s">
        <v>237</v>
      </c>
      <c r="FC42" s="74" t="s">
        <v>261</v>
      </c>
      <c r="FD42" s="74" t="s">
        <v>261</v>
      </c>
      <c r="FE42" s="74" t="s">
        <v>261</v>
      </c>
      <c r="FF42" s="74"/>
      <c r="FG42" s="81" t="s">
        <v>237</v>
      </c>
      <c r="FH42" s="81" t="s">
        <v>244</v>
      </c>
      <c r="FI42" s="81" t="s">
        <v>237</v>
      </c>
      <c r="FJ42" s="81" t="s">
        <v>237</v>
      </c>
      <c r="FK42" s="81" t="s">
        <v>237</v>
      </c>
      <c r="FL42" s="74"/>
      <c r="FM42" s="75" t="s">
        <v>237</v>
      </c>
      <c r="FN42" s="75" t="s">
        <v>237</v>
      </c>
      <c r="FO42" s="74" t="s">
        <v>261</v>
      </c>
      <c r="FP42" s="74" t="s">
        <v>261</v>
      </c>
      <c r="FQ42" s="75" t="s">
        <v>237</v>
      </c>
      <c r="FR42" s="75"/>
      <c r="FS42" s="74" t="s">
        <v>261</v>
      </c>
      <c r="FT42" s="75" t="s">
        <v>237</v>
      </c>
      <c r="FU42" s="74" t="s">
        <v>261</v>
      </c>
      <c r="FV42" s="75" t="s">
        <v>237</v>
      </c>
      <c r="FW42" s="74" t="s">
        <v>261</v>
      </c>
      <c r="FX42" s="74" t="s">
        <v>261</v>
      </c>
      <c r="FY42" s="74"/>
      <c r="FZ42" s="75" t="s">
        <v>237</v>
      </c>
      <c r="GA42" s="75"/>
      <c r="GB42" s="75" t="s">
        <v>237</v>
      </c>
      <c r="GC42" s="75" t="s">
        <v>237</v>
      </c>
      <c r="GD42" s="74" t="s">
        <v>261</v>
      </c>
      <c r="GE42" s="74" t="s">
        <v>261</v>
      </c>
      <c r="GF42" s="75" t="s">
        <v>237</v>
      </c>
      <c r="GG42" s="74"/>
      <c r="GH42" s="81" t="s">
        <v>237</v>
      </c>
      <c r="GI42" s="81" t="s">
        <v>244</v>
      </c>
      <c r="GJ42" s="81" t="s">
        <v>237</v>
      </c>
      <c r="GK42" s="81" t="s">
        <v>237</v>
      </c>
      <c r="GL42" s="81" t="s">
        <v>237</v>
      </c>
      <c r="GM42" s="81"/>
      <c r="GN42" s="81" t="s">
        <v>349</v>
      </c>
      <c r="GO42" s="75" t="s">
        <v>237</v>
      </c>
      <c r="GP42" s="75" t="s">
        <v>237</v>
      </c>
      <c r="GQ42" s="81" t="s">
        <v>349</v>
      </c>
      <c r="GR42" s="81"/>
      <c r="GS42" s="74" t="s">
        <v>261</v>
      </c>
      <c r="GT42" s="75" t="s">
        <v>237</v>
      </c>
      <c r="GU42" s="74" t="s">
        <v>261</v>
      </c>
      <c r="GV42" s="74" t="s">
        <v>261</v>
      </c>
      <c r="GW42" s="74" t="s">
        <v>261</v>
      </c>
      <c r="GX42" s="75" t="s">
        <v>237</v>
      </c>
      <c r="GY42" s="74" t="s">
        <v>261</v>
      </c>
      <c r="GZ42" s="74" t="s">
        <v>261</v>
      </c>
      <c r="HA42" s="74" t="s">
        <v>261</v>
      </c>
      <c r="HB42" s="74" t="s">
        <v>261</v>
      </c>
      <c r="HC42" s="75" t="s">
        <v>237</v>
      </c>
      <c r="HD42" s="74" t="s">
        <v>261</v>
      </c>
      <c r="HE42" s="74"/>
      <c r="HF42" s="74" t="s">
        <v>261</v>
      </c>
      <c r="HG42" s="75" t="s">
        <v>237</v>
      </c>
      <c r="HH42" s="75" t="s">
        <v>237</v>
      </c>
      <c r="HI42" s="74" t="s">
        <v>261</v>
      </c>
      <c r="HJ42" s="74" t="s">
        <v>261</v>
      </c>
      <c r="HK42" s="75" t="s">
        <v>237</v>
      </c>
      <c r="HL42" s="74" t="s">
        <v>261</v>
      </c>
      <c r="HM42" s="74"/>
      <c r="HN42" s="74" t="s">
        <v>261</v>
      </c>
      <c r="HO42" s="74" t="s">
        <v>261</v>
      </c>
      <c r="HP42" s="75" t="s">
        <v>237</v>
      </c>
      <c r="HQ42" s="75" t="s">
        <v>237</v>
      </c>
      <c r="HR42" s="74" t="s">
        <v>261</v>
      </c>
      <c r="HS42" s="74" t="s">
        <v>261</v>
      </c>
      <c r="HT42" s="74"/>
      <c r="HU42" s="74" t="s">
        <v>261</v>
      </c>
      <c r="HV42" s="75" t="s">
        <v>237</v>
      </c>
      <c r="HW42" s="74" t="s">
        <v>261</v>
      </c>
      <c r="HX42" s="74" t="s">
        <v>261</v>
      </c>
      <c r="HY42" s="74" t="s">
        <v>261</v>
      </c>
      <c r="HZ42" s="74" t="s">
        <v>261</v>
      </c>
      <c r="IA42" s="74"/>
      <c r="IB42" s="81" t="s">
        <v>237</v>
      </c>
      <c r="IC42" s="81" t="s">
        <v>244</v>
      </c>
      <c r="ID42" s="81" t="s">
        <v>244</v>
      </c>
      <c r="IE42" s="81" t="s">
        <v>244</v>
      </c>
      <c r="IF42" s="81" t="s">
        <v>237</v>
      </c>
      <c r="IG42" s="81" t="s">
        <v>237</v>
      </c>
      <c r="IH42" s="81"/>
      <c r="II42" s="75" t="s">
        <v>237</v>
      </c>
      <c r="IJ42" s="75" t="s">
        <v>237</v>
      </c>
      <c r="IK42" s="75" t="s">
        <v>237</v>
      </c>
      <c r="IL42" s="75" t="s">
        <v>237</v>
      </c>
      <c r="IM42" s="75" t="s">
        <v>237</v>
      </c>
      <c r="IN42" s="81"/>
      <c r="IO42" s="81" t="s">
        <v>349</v>
      </c>
      <c r="IP42" s="74" t="s">
        <v>261</v>
      </c>
      <c r="IQ42" s="81" t="s">
        <v>349</v>
      </c>
      <c r="IR42" s="81" t="s">
        <v>349</v>
      </c>
      <c r="IS42" s="74" t="s">
        <v>261</v>
      </c>
      <c r="IT42" s="75" t="s">
        <v>237</v>
      </c>
      <c r="IU42" s="81" t="s">
        <v>349</v>
      </c>
      <c r="IV42" s="81"/>
      <c r="IW42" s="74" t="s">
        <v>261</v>
      </c>
      <c r="IX42" s="74" t="s">
        <v>261</v>
      </c>
      <c r="IY42" s="75" t="s">
        <v>237</v>
      </c>
      <c r="IZ42" s="74" t="s">
        <v>261</v>
      </c>
      <c r="JA42" s="74" t="s">
        <v>261</v>
      </c>
      <c r="JB42" s="81"/>
      <c r="JC42" s="81" t="s">
        <v>237</v>
      </c>
      <c r="JD42" s="80" t="s">
        <v>261</v>
      </c>
      <c r="JE42" s="81" t="s">
        <v>237</v>
      </c>
      <c r="JF42" s="81" t="s">
        <v>244</v>
      </c>
      <c r="JG42" s="81" t="s">
        <v>244</v>
      </c>
      <c r="JH42" s="81" t="s">
        <v>244</v>
      </c>
      <c r="JI42" s="81" t="s">
        <v>244</v>
      </c>
      <c r="JJ42" s="81" t="s">
        <v>237</v>
      </c>
      <c r="JK42" s="81" t="s">
        <v>237</v>
      </c>
      <c r="JL42" s="81"/>
      <c r="JM42" s="74" t="s">
        <v>261</v>
      </c>
      <c r="JN42" s="75" t="s">
        <v>237</v>
      </c>
      <c r="JO42" s="74" t="s">
        <v>261</v>
      </c>
      <c r="JP42" s="81"/>
      <c r="JQ42" s="74" t="s">
        <v>261</v>
      </c>
      <c r="JR42" s="75" t="s">
        <v>237</v>
      </c>
      <c r="JS42" s="75" t="s">
        <v>237</v>
      </c>
      <c r="JT42" s="75" t="s">
        <v>237</v>
      </c>
      <c r="JU42" s="74" t="s">
        <v>261</v>
      </c>
      <c r="JV42" s="74" t="s">
        <v>261</v>
      </c>
    </row>
    <row r="43" spans="1:282" x14ac:dyDescent="0.15">
      <c r="A43" s="214" t="s">
        <v>541</v>
      </c>
      <c r="B43" s="6" t="s">
        <v>485</v>
      </c>
      <c r="C43" s="6">
        <v>70000</v>
      </c>
      <c r="D43" s="6">
        <v>11</v>
      </c>
      <c r="E43" s="6">
        <v>6</v>
      </c>
      <c r="F43" s="6">
        <v>3</v>
      </c>
      <c r="G43" s="6" t="s">
        <v>59</v>
      </c>
      <c r="H43" s="6" t="s">
        <v>37</v>
      </c>
      <c r="I43" s="6" t="s">
        <v>46</v>
      </c>
      <c r="J43" s="21" t="s">
        <v>65</v>
      </c>
      <c r="K43" s="21">
        <v>1</v>
      </c>
      <c r="L43" s="21">
        <v>1</v>
      </c>
      <c r="M43" s="21">
        <v>2</v>
      </c>
      <c r="N43" s="21">
        <v>0</v>
      </c>
      <c r="O43" s="21">
        <v>0</v>
      </c>
      <c r="P43" s="21" t="str">
        <f>IF(TeamT[[#This Row],[General]]+TeamT[[#This Row],[Agility]]+TeamT[[#This Row],[Strength]]+TeamT[[#This Row],[Passing]]+TeamT[[#This Row],[Mutation]]&gt;0,IF(TeamT[[#This Row],[General]]=1,"G","")&amp;IF(TeamT[[#This Row],[Agility]]=1,"A","")&amp;IF(TeamT[[#This Row],[Strength]]=1,"S","")&amp;IF(TeamT[[#This Row],[Passing]]=1,"P","")&amp;IF(TeamT[[#This Row],[Mutation]]=1,"M",""),"Star")</f>
        <v>GA</v>
      </c>
      <c r="Q43" s="21" t="str">
        <f>IF(TeamT[[#This Row],[General]]=2,"G","")&amp;IF(TeamT[[#This Row],[Agility]]=2,"A","")&amp;IF(TeamT[[#This Row],[Strength]]=2,"S","")&amp;IF(TeamT[[#This Row],[Passing]]=2,"P","")&amp;IF(TeamT[[#This Row],[Mutation]]=2,"M","")</f>
        <v>S</v>
      </c>
      <c r="R43" s="212"/>
      <c r="S43" s="21">
        <v>2</v>
      </c>
      <c r="T43" s="21">
        <v>4</v>
      </c>
      <c r="U43" s="21">
        <v>9</v>
      </c>
      <c r="AA43" s="76" t="e">
        <f>HLOOKUP(Roster!$E$5,Team!$BL$2:$MK$128,42,FALSE)</f>
        <v>#N/A</v>
      </c>
      <c r="AB43" s="76" t="e">
        <f>HLOOKUP(Roster!$E$6,Team!$BL$2:$MK$128,42,FALSE)</f>
        <v>#N/A</v>
      </c>
      <c r="AC43" s="76" t="e">
        <f>HLOOKUP(Roster!$E$7,Team!$BL$2:$MK$128,42,FALSE)</f>
        <v>#N/A</v>
      </c>
      <c r="AD43" s="76" t="e">
        <f>HLOOKUP(Roster!$E$8,Team!$BL$2:$MK$128,42,FALSE)</f>
        <v>#N/A</v>
      </c>
      <c r="AE43" s="76" t="e">
        <f>HLOOKUP(Roster!$E$9,Team!$BL$2:$MK$128,42,FALSE)</f>
        <v>#N/A</v>
      </c>
      <c r="AF43" s="76" t="e">
        <f>HLOOKUP(Roster!$E$10,Team!$BL$2:$MK$128,42,FALSE)</f>
        <v>#N/A</v>
      </c>
      <c r="AG43" s="76" t="e">
        <f>HLOOKUP(Roster!$E$11,Team!$BL$2:$MK$128,42,FALSE)</f>
        <v>#N/A</v>
      </c>
      <c r="AH43" s="76" t="e">
        <f>HLOOKUP(Roster!$E$12,Team!$BL$2:$MK$128,42,FALSE)</f>
        <v>#N/A</v>
      </c>
      <c r="AI43" s="76" t="e">
        <f>HLOOKUP(Roster!$E$13,Team!$BL$2:$MK$128,42,FALSE)</f>
        <v>#N/A</v>
      </c>
      <c r="AJ43" s="76" t="e">
        <f>HLOOKUP(Roster!$E$14,Team!$BL$2:$MK$128,42,FALSE)</f>
        <v>#N/A</v>
      </c>
      <c r="AK43" s="76" t="e">
        <f>HLOOKUP(Roster!$E$15,Team!$BL$2:$MK$128,42,FALSE)</f>
        <v>#N/A</v>
      </c>
      <c r="AL43" s="76" t="e">
        <f>HLOOKUP(Roster!$E$16,Team!$BL$2:$MK$128,42,FALSE)</f>
        <v>#N/A</v>
      </c>
      <c r="AM43" s="76" t="e">
        <f>HLOOKUP(Roster!$E$17,Team!$BL$2:$MK$128,42,FALSE)</f>
        <v>#N/A</v>
      </c>
      <c r="AN43" s="76" t="e">
        <f>HLOOKUP(Roster!$E$18,Team!$BL$2:$MK$128,42,FALSE)</f>
        <v>#N/A</v>
      </c>
      <c r="AO43" s="76" t="e">
        <f>HLOOKUP(Roster!$E$19,Team!$BL$2:$MK$128,42,FALSE)</f>
        <v>#N/A</v>
      </c>
      <c r="AP43" s="76" t="e">
        <f>HLOOKUP(Roster!$E$20,Team!$BL$2:$MK$128,42,FALSE)</f>
        <v>#N/A</v>
      </c>
      <c r="AR43" s="108">
        <f t="shared" si="1"/>
        <v>0</v>
      </c>
      <c r="AS43" s="108">
        <f t="shared" si="2"/>
        <v>0</v>
      </c>
      <c r="AT43" s="108">
        <f t="shared" si="3"/>
        <v>0</v>
      </c>
      <c r="AU43" s="108">
        <f t="shared" si="4"/>
        <v>0</v>
      </c>
      <c r="AV43" s="108">
        <f t="shared" si="5"/>
        <v>0</v>
      </c>
      <c r="AW43" s="108">
        <f t="shared" si="6"/>
        <v>0</v>
      </c>
      <c r="AX43" s="108">
        <f t="shared" si="7"/>
        <v>0</v>
      </c>
      <c r="AY43" s="108">
        <f t="shared" si="8"/>
        <v>0</v>
      </c>
      <c r="AZ43" s="108">
        <f t="shared" si="9"/>
        <v>0</v>
      </c>
      <c r="BA43" s="108">
        <f t="shared" si="10"/>
        <v>0</v>
      </c>
      <c r="BB43" s="108">
        <f t="shared" si="11"/>
        <v>0</v>
      </c>
      <c r="BC43" s="108">
        <f t="shared" si="12"/>
        <v>0</v>
      </c>
      <c r="BD43" s="108">
        <f t="shared" si="13"/>
        <v>0</v>
      </c>
      <c r="BE43" s="108">
        <f t="shared" si="14"/>
        <v>0</v>
      </c>
      <c r="BF43" s="108">
        <f t="shared" si="15"/>
        <v>0</v>
      </c>
      <c r="BG43" s="108">
        <f t="shared" si="16"/>
        <v>0</v>
      </c>
      <c r="BL43" s="75" t="s">
        <v>230</v>
      </c>
      <c r="BM43" s="75" t="s">
        <v>238</v>
      </c>
      <c r="BN43" s="75" t="s">
        <v>230</v>
      </c>
      <c r="BO43" s="75" t="s">
        <v>230</v>
      </c>
      <c r="BP43" s="75" t="s">
        <v>230</v>
      </c>
      <c r="BQ43" s="75"/>
      <c r="BR43" s="75" t="s">
        <v>238</v>
      </c>
      <c r="BS43" s="75" t="s">
        <v>238</v>
      </c>
      <c r="BT43" s="75" t="s">
        <v>238</v>
      </c>
      <c r="BU43" s="75" t="s">
        <v>238</v>
      </c>
      <c r="BV43" s="75"/>
      <c r="BW43" s="81" t="s">
        <v>245</v>
      </c>
      <c r="BX43" s="81" t="s">
        <v>238</v>
      </c>
      <c r="BY43" s="81" t="s">
        <v>238</v>
      </c>
      <c r="BZ43" s="81" t="s">
        <v>238</v>
      </c>
      <c r="CA43" s="81" t="s">
        <v>238</v>
      </c>
      <c r="CB43" s="81" t="s">
        <v>245</v>
      </c>
      <c r="CC43" s="77"/>
      <c r="CD43" s="75" t="s">
        <v>230</v>
      </c>
      <c r="CE43" s="81" t="s">
        <v>238</v>
      </c>
      <c r="CF43" s="75" t="s">
        <v>230</v>
      </c>
      <c r="CG43" s="81" t="s">
        <v>238</v>
      </c>
      <c r="CH43" s="75" t="s">
        <v>230</v>
      </c>
      <c r="CI43" s="77"/>
      <c r="CJ43" s="81" t="s">
        <v>238</v>
      </c>
      <c r="CK43" s="81" t="s">
        <v>245</v>
      </c>
      <c r="CL43" s="81" t="s">
        <v>238</v>
      </c>
      <c r="CM43" s="81" t="s">
        <v>238</v>
      </c>
      <c r="CN43" s="81" t="s">
        <v>238</v>
      </c>
      <c r="CO43" s="81" t="s">
        <v>245</v>
      </c>
      <c r="CP43" s="81" t="s">
        <v>238</v>
      </c>
      <c r="CQ43" s="81" t="s">
        <v>238</v>
      </c>
      <c r="CR43" s="81" t="s">
        <v>238</v>
      </c>
      <c r="CS43" s="81" t="s">
        <v>238</v>
      </c>
      <c r="CT43" s="81" t="s">
        <v>238</v>
      </c>
      <c r="CU43" s="81"/>
      <c r="CV43" s="75" t="s">
        <v>238</v>
      </c>
      <c r="CW43" s="75" t="s">
        <v>238</v>
      </c>
      <c r="CX43" s="75" t="s">
        <v>238</v>
      </c>
      <c r="CY43" s="75" t="s">
        <v>238</v>
      </c>
      <c r="CZ43" s="75" t="s">
        <v>238</v>
      </c>
      <c r="DA43" s="81"/>
      <c r="DB43" s="75" t="s">
        <v>230</v>
      </c>
      <c r="DC43" s="75" t="s">
        <v>238</v>
      </c>
      <c r="DD43" s="75" t="s">
        <v>238</v>
      </c>
      <c r="DE43" s="75" t="s">
        <v>238</v>
      </c>
      <c r="DF43" s="75" t="s">
        <v>238</v>
      </c>
      <c r="DG43" s="75" t="s">
        <v>230</v>
      </c>
      <c r="DH43" s="75"/>
      <c r="DI43" s="75" t="s">
        <v>230</v>
      </c>
      <c r="DJ43" s="75" t="s">
        <v>238</v>
      </c>
      <c r="DK43" s="75" t="s">
        <v>238</v>
      </c>
      <c r="DL43" s="75" t="s">
        <v>230</v>
      </c>
      <c r="DM43" s="75" t="s">
        <v>230</v>
      </c>
      <c r="DN43" s="75" t="s">
        <v>230</v>
      </c>
      <c r="DO43" s="75"/>
      <c r="DP43" s="75" t="s">
        <v>230</v>
      </c>
      <c r="DQ43" s="75" t="s">
        <v>238</v>
      </c>
      <c r="DR43" s="75" t="s">
        <v>230</v>
      </c>
      <c r="DS43" s="75" t="s">
        <v>238</v>
      </c>
      <c r="DT43" s="75" t="s">
        <v>230</v>
      </c>
      <c r="DU43" s="75"/>
      <c r="DV43" s="75" t="s">
        <v>238</v>
      </c>
      <c r="DW43" s="75" t="s">
        <v>238</v>
      </c>
      <c r="DX43" s="75" t="s">
        <v>230</v>
      </c>
      <c r="DY43" s="75" t="s">
        <v>230</v>
      </c>
      <c r="DZ43" s="75" t="s">
        <v>238</v>
      </c>
      <c r="EA43" s="75" t="s">
        <v>238</v>
      </c>
      <c r="EB43" s="75" t="s">
        <v>230</v>
      </c>
      <c r="EC43" s="75" t="s">
        <v>238</v>
      </c>
      <c r="ED43" s="75" t="s">
        <v>238</v>
      </c>
      <c r="EE43" s="75"/>
      <c r="EF43" s="75" t="s">
        <v>230</v>
      </c>
      <c r="EG43" s="75" t="s">
        <v>238</v>
      </c>
      <c r="EH43" s="75" t="s">
        <v>230</v>
      </c>
      <c r="EI43" s="75" t="s">
        <v>238</v>
      </c>
      <c r="EJ43" s="75" t="s">
        <v>230</v>
      </c>
      <c r="EK43" s="75"/>
      <c r="EL43" s="75" t="s">
        <v>238</v>
      </c>
      <c r="EM43" s="75" t="s">
        <v>238</v>
      </c>
      <c r="EN43" s="75" t="s">
        <v>230</v>
      </c>
      <c r="EO43" s="75" t="s">
        <v>238</v>
      </c>
      <c r="EP43" s="75" t="s">
        <v>238</v>
      </c>
      <c r="EQ43" s="75"/>
      <c r="ER43" s="75" t="s">
        <v>230</v>
      </c>
      <c r="ES43" s="75" t="s">
        <v>238</v>
      </c>
      <c r="ET43" s="75" t="s">
        <v>238</v>
      </c>
      <c r="EU43" s="75" t="s">
        <v>238</v>
      </c>
      <c r="EV43" s="75" t="s">
        <v>230</v>
      </c>
      <c r="EW43" s="75" t="s">
        <v>230</v>
      </c>
      <c r="EX43" s="75" t="s">
        <v>230</v>
      </c>
      <c r="EY43" s="75"/>
      <c r="EZ43" s="75" t="s">
        <v>230</v>
      </c>
      <c r="FA43" s="75" t="s">
        <v>238</v>
      </c>
      <c r="FB43" s="75" t="s">
        <v>238</v>
      </c>
      <c r="FC43" s="75" t="s">
        <v>230</v>
      </c>
      <c r="FD43" s="75" t="s">
        <v>230</v>
      </c>
      <c r="FE43" s="75" t="s">
        <v>230</v>
      </c>
      <c r="FF43" s="75"/>
      <c r="FG43" s="81" t="s">
        <v>238</v>
      </c>
      <c r="FH43" s="81" t="s">
        <v>245</v>
      </c>
      <c r="FI43" s="81" t="s">
        <v>238</v>
      </c>
      <c r="FJ43" s="81" t="s">
        <v>238</v>
      </c>
      <c r="FK43" s="81" t="s">
        <v>238</v>
      </c>
      <c r="FL43" s="75"/>
      <c r="FM43" s="75" t="s">
        <v>238</v>
      </c>
      <c r="FN43" s="75" t="s">
        <v>238</v>
      </c>
      <c r="FO43" s="75" t="s">
        <v>230</v>
      </c>
      <c r="FP43" s="75" t="s">
        <v>230</v>
      </c>
      <c r="FQ43" s="75" t="s">
        <v>238</v>
      </c>
      <c r="FR43" s="75"/>
      <c r="FS43" s="75" t="s">
        <v>230</v>
      </c>
      <c r="FT43" s="75" t="s">
        <v>238</v>
      </c>
      <c r="FU43" s="75" t="s">
        <v>230</v>
      </c>
      <c r="FV43" s="75" t="s">
        <v>238</v>
      </c>
      <c r="FW43" s="75" t="s">
        <v>230</v>
      </c>
      <c r="FX43" s="75" t="s">
        <v>230</v>
      </c>
      <c r="FY43" s="75"/>
      <c r="FZ43" s="75" t="s">
        <v>238</v>
      </c>
      <c r="GA43" s="75"/>
      <c r="GB43" s="75" t="s">
        <v>238</v>
      </c>
      <c r="GC43" s="75" t="s">
        <v>238</v>
      </c>
      <c r="GD43" s="75" t="s">
        <v>230</v>
      </c>
      <c r="GE43" s="75" t="s">
        <v>230</v>
      </c>
      <c r="GF43" s="75" t="s">
        <v>238</v>
      </c>
      <c r="GG43" s="75"/>
      <c r="GH43" s="81" t="s">
        <v>238</v>
      </c>
      <c r="GI43" s="81" t="s">
        <v>245</v>
      </c>
      <c r="GJ43" s="81" t="s">
        <v>238</v>
      </c>
      <c r="GK43" s="81" t="s">
        <v>238</v>
      </c>
      <c r="GL43" s="81" t="s">
        <v>238</v>
      </c>
      <c r="GM43" s="81"/>
      <c r="GN43" s="81" t="s">
        <v>350</v>
      </c>
      <c r="GO43" s="75" t="s">
        <v>238</v>
      </c>
      <c r="GP43" s="75" t="s">
        <v>238</v>
      </c>
      <c r="GQ43" s="81" t="s">
        <v>350</v>
      </c>
      <c r="GR43" s="81"/>
      <c r="GS43" s="75" t="s">
        <v>230</v>
      </c>
      <c r="GT43" s="75" t="s">
        <v>238</v>
      </c>
      <c r="GU43" s="75" t="s">
        <v>230</v>
      </c>
      <c r="GV43" s="75" t="s">
        <v>230</v>
      </c>
      <c r="GW43" s="75" t="s">
        <v>230</v>
      </c>
      <c r="GX43" s="75" t="s">
        <v>238</v>
      </c>
      <c r="GY43" s="75" t="s">
        <v>230</v>
      </c>
      <c r="GZ43" s="75" t="s">
        <v>230</v>
      </c>
      <c r="HA43" s="75" t="s">
        <v>230</v>
      </c>
      <c r="HB43" s="75" t="s">
        <v>230</v>
      </c>
      <c r="HC43" s="75" t="s">
        <v>238</v>
      </c>
      <c r="HD43" s="75" t="s">
        <v>230</v>
      </c>
      <c r="HE43" s="75"/>
      <c r="HF43" s="75" t="s">
        <v>230</v>
      </c>
      <c r="HG43" s="75" t="s">
        <v>238</v>
      </c>
      <c r="HH43" s="75" t="s">
        <v>238</v>
      </c>
      <c r="HI43" s="75" t="s">
        <v>230</v>
      </c>
      <c r="HJ43" s="75" t="s">
        <v>230</v>
      </c>
      <c r="HK43" s="75" t="s">
        <v>238</v>
      </c>
      <c r="HL43" s="75" t="s">
        <v>230</v>
      </c>
      <c r="HM43" s="75"/>
      <c r="HN43" s="75" t="s">
        <v>230</v>
      </c>
      <c r="HO43" s="75" t="s">
        <v>230</v>
      </c>
      <c r="HP43" s="75" t="s">
        <v>238</v>
      </c>
      <c r="HQ43" s="75" t="s">
        <v>238</v>
      </c>
      <c r="HR43" s="75" t="s">
        <v>230</v>
      </c>
      <c r="HS43" s="75" t="s">
        <v>230</v>
      </c>
      <c r="HT43" s="75"/>
      <c r="HU43" s="75" t="s">
        <v>230</v>
      </c>
      <c r="HV43" s="75" t="s">
        <v>238</v>
      </c>
      <c r="HW43" s="75" t="s">
        <v>230</v>
      </c>
      <c r="HX43" s="75" t="s">
        <v>230</v>
      </c>
      <c r="HY43" s="75" t="s">
        <v>230</v>
      </c>
      <c r="HZ43" s="75" t="s">
        <v>230</v>
      </c>
      <c r="IA43" s="75"/>
      <c r="IB43" s="81" t="s">
        <v>238</v>
      </c>
      <c r="IC43" s="81" t="s">
        <v>245</v>
      </c>
      <c r="ID43" s="81" t="s">
        <v>245</v>
      </c>
      <c r="IE43" s="81" t="s">
        <v>245</v>
      </c>
      <c r="IF43" s="81" t="s">
        <v>238</v>
      </c>
      <c r="IG43" s="81" t="s">
        <v>238</v>
      </c>
      <c r="IH43" s="81"/>
      <c r="II43" s="75" t="s">
        <v>238</v>
      </c>
      <c r="IJ43" s="75" t="s">
        <v>238</v>
      </c>
      <c r="IK43" s="75" t="s">
        <v>238</v>
      </c>
      <c r="IL43" s="75" t="s">
        <v>238</v>
      </c>
      <c r="IM43" s="75" t="s">
        <v>238</v>
      </c>
      <c r="IN43" s="81"/>
      <c r="IO43" s="81" t="s">
        <v>350</v>
      </c>
      <c r="IP43" s="75" t="s">
        <v>230</v>
      </c>
      <c r="IQ43" s="81" t="s">
        <v>350</v>
      </c>
      <c r="IR43" s="81" t="s">
        <v>350</v>
      </c>
      <c r="IS43" s="75" t="s">
        <v>230</v>
      </c>
      <c r="IT43" s="75" t="s">
        <v>238</v>
      </c>
      <c r="IU43" s="81" t="s">
        <v>350</v>
      </c>
      <c r="IV43" s="81"/>
      <c r="IW43" s="75" t="s">
        <v>230</v>
      </c>
      <c r="IX43" s="75" t="s">
        <v>230</v>
      </c>
      <c r="IY43" s="75" t="s">
        <v>238</v>
      </c>
      <c r="IZ43" s="75" t="s">
        <v>230</v>
      </c>
      <c r="JA43" s="75" t="s">
        <v>230</v>
      </c>
      <c r="JB43" s="81"/>
      <c r="JC43" s="81" t="s">
        <v>238</v>
      </c>
      <c r="JD43" s="81" t="s">
        <v>230</v>
      </c>
      <c r="JE43" s="81" t="s">
        <v>238</v>
      </c>
      <c r="JF43" s="81" t="s">
        <v>245</v>
      </c>
      <c r="JG43" s="81" t="s">
        <v>245</v>
      </c>
      <c r="JH43" s="81" t="s">
        <v>245</v>
      </c>
      <c r="JI43" s="81" t="s">
        <v>245</v>
      </c>
      <c r="JJ43" s="81" t="s">
        <v>238</v>
      </c>
      <c r="JK43" s="81" t="s">
        <v>238</v>
      </c>
      <c r="JL43" s="81"/>
      <c r="JM43" s="75" t="s">
        <v>230</v>
      </c>
      <c r="JN43" s="75" t="s">
        <v>238</v>
      </c>
      <c r="JO43" s="75" t="s">
        <v>230</v>
      </c>
      <c r="JP43" s="81"/>
      <c r="JQ43" s="75" t="s">
        <v>230</v>
      </c>
      <c r="JR43" s="75" t="s">
        <v>238</v>
      </c>
      <c r="JS43" s="75" t="s">
        <v>238</v>
      </c>
      <c r="JT43" s="75" t="s">
        <v>238</v>
      </c>
      <c r="JU43" s="75" t="s">
        <v>230</v>
      </c>
      <c r="JV43" s="75" t="s">
        <v>230</v>
      </c>
    </row>
    <row r="44" spans="1:282" x14ac:dyDescent="0.15">
      <c r="A44" s="214" t="s">
        <v>495</v>
      </c>
      <c r="B44" s="6" t="s">
        <v>17</v>
      </c>
      <c r="C44" s="6">
        <v>70000</v>
      </c>
      <c r="D44" s="6">
        <v>12</v>
      </c>
      <c r="E44" s="6">
        <v>4</v>
      </c>
      <c r="F44" s="6">
        <v>3</v>
      </c>
      <c r="G44" s="6" t="s">
        <v>37</v>
      </c>
      <c r="H44" s="6" t="s">
        <v>40</v>
      </c>
      <c r="I44" s="6" t="s">
        <v>41</v>
      </c>
      <c r="J44" s="21" t="s">
        <v>74</v>
      </c>
      <c r="K44" s="21">
        <v>1</v>
      </c>
      <c r="L44" s="21">
        <v>2</v>
      </c>
      <c r="M44" s="21">
        <v>1</v>
      </c>
      <c r="N44" s="21">
        <v>0</v>
      </c>
      <c r="O44" s="21">
        <v>0</v>
      </c>
      <c r="P44" s="21" t="str">
        <f>IF(TeamT[[#This Row],[General]]+TeamT[[#This Row],[Agility]]+TeamT[[#This Row],[Strength]]+TeamT[[#This Row],[Passing]]+TeamT[[#This Row],[Mutation]]&gt;0,IF(TeamT[[#This Row],[General]]=1,"G","")&amp;IF(TeamT[[#This Row],[Agility]]=1,"A","")&amp;IF(TeamT[[#This Row],[Strength]]=1,"S","")&amp;IF(TeamT[[#This Row],[Passing]]=1,"P","")&amp;IF(TeamT[[#This Row],[Mutation]]=1,"M",""),"Star")</f>
        <v>GS</v>
      </c>
      <c r="Q44" s="21" t="str">
        <f>IF(TeamT[[#This Row],[General]]=2,"G","")&amp;IF(TeamT[[#This Row],[Agility]]=2,"A","")&amp;IF(TeamT[[#This Row],[Strength]]=2,"S","")&amp;IF(TeamT[[#This Row],[Passing]]=2,"P","")&amp;IF(TeamT[[#This Row],[Mutation]]=2,"M","")</f>
        <v>A</v>
      </c>
      <c r="R44" s="212"/>
      <c r="S44" s="21">
        <v>4</v>
      </c>
      <c r="T44" s="21">
        <v>5</v>
      </c>
      <c r="U44" s="21">
        <v>10</v>
      </c>
      <c r="AA44" s="76" t="e">
        <f>HLOOKUP(Roster!$E$5,Team!$BL$2:$MK$128,43,FALSE)</f>
        <v>#N/A</v>
      </c>
      <c r="AB44" s="76" t="e">
        <f>HLOOKUP(Roster!$E$6,Team!$BL$2:$MK$128,43,FALSE)</f>
        <v>#N/A</v>
      </c>
      <c r="AC44" s="76" t="e">
        <f>HLOOKUP(Roster!$E$7,Team!$BL$2:$MK$128,43,FALSE)</f>
        <v>#N/A</v>
      </c>
      <c r="AD44" s="76" t="e">
        <f>HLOOKUP(Roster!$E$8,Team!$BL$2:$MK$128,43,FALSE)</f>
        <v>#N/A</v>
      </c>
      <c r="AE44" s="76" t="e">
        <f>HLOOKUP(Roster!$E$9,Team!$BL$2:$MK$128,43,FALSE)</f>
        <v>#N/A</v>
      </c>
      <c r="AF44" s="76" t="e">
        <f>HLOOKUP(Roster!$E$10,Team!$BL$2:$MK$128,43,FALSE)</f>
        <v>#N/A</v>
      </c>
      <c r="AG44" s="76" t="e">
        <f>HLOOKUP(Roster!$E$11,Team!$BL$2:$MK$128,43,FALSE)</f>
        <v>#N/A</v>
      </c>
      <c r="AH44" s="76" t="e">
        <f>HLOOKUP(Roster!$E$12,Team!$BL$2:$MK$128,43,FALSE)</f>
        <v>#N/A</v>
      </c>
      <c r="AI44" s="76" t="e">
        <f>HLOOKUP(Roster!$E$13,Team!$BL$2:$MK$128,43,FALSE)</f>
        <v>#N/A</v>
      </c>
      <c r="AJ44" s="76" t="e">
        <f>HLOOKUP(Roster!$E$14,Team!$BL$2:$MK$128,43,FALSE)</f>
        <v>#N/A</v>
      </c>
      <c r="AK44" s="76" t="e">
        <f>HLOOKUP(Roster!$E$15,Team!$BL$2:$MK$128,43,FALSE)</f>
        <v>#N/A</v>
      </c>
      <c r="AL44" s="76" t="e">
        <f>HLOOKUP(Roster!$E$16,Team!$BL$2:$MK$128,43,FALSE)</f>
        <v>#N/A</v>
      </c>
      <c r="AM44" s="76" t="e">
        <f>HLOOKUP(Roster!$E$17,Team!$BL$2:$MK$128,43,FALSE)</f>
        <v>#N/A</v>
      </c>
      <c r="AN44" s="76" t="e">
        <f>HLOOKUP(Roster!$E$18,Team!$BL$2:$MK$128,43,FALSE)</f>
        <v>#N/A</v>
      </c>
      <c r="AO44" s="76" t="e">
        <f>HLOOKUP(Roster!$E$19,Team!$BL$2:$MK$128,43,FALSE)</f>
        <v>#N/A</v>
      </c>
      <c r="AP44" s="76" t="e">
        <f>HLOOKUP(Roster!$E$20,Team!$BL$2:$MK$128,43,FALSE)</f>
        <v>#N/A</v>
      </c>
      <c r="AR44" s="108">
        <f t="shared" si="1"/>
        <v>0</v>
      </c>
      <c r="AS44" s="108">
        <f t="shared" si="2"/>
        <v>0</v>
      </c>
      <c r="AT44" s="108">
        <f t="shared" si="3"/>
        <v>0</v>
      </c>
      <c r="AU44" s="108">
        <f t="shared" si="4"/>
        <v>0</v>
      </c>
      <c r="AV44" s="108">
        <f t="shared" si="5"/>
        <v>0</v>
      </c>
      <c r="AW44" s="108">
        <f t="shared" si="6"/>
        <v>0</v>
      </c>
      <c r="AX44" s="108">
        <f t="shared" si="7"/>
        <v>0</v>
      </c>
      <c r="AY44" s="108">
        <f t="shared" si="8"/>
        <v>0</v>
      </c>
      <c r="AZ44" s="108">
        <f t="shared" si="9"/>
        <v>0</v>
      </c>
      <c r="BA44" s="108">
        <f t="shared" si="10"/>
        <v>0</v>
      </c>
      <c r="BB44" s="108">
        <f t="shared" si="11"/>
        <v>0</v>
      </c>
      <c r="BC44" s="108">
        <f t="shared" si="12"/>
        <v>0</v>
      </c>
      <c r="BD44" s="108">
        <f t="shared" si="13"/>
        <v>0</v>
      </c>
      <c r="BE44" s="108">
        <f t="shared" si="14"/>
        <v>0</v>
      </c>
      <c r="BF44" s="108">
        <f t="shared" si="15"/>
        <v>0</v>
      </c>
      <c r="BG44" s="108">
        <f t="shared" si="16"/>
        <v>0</v>
      </c>
      <c r="BL44" s="75" t="s">
        <v>231</v>
      </c>
      <c r="BM44" s="75" t="s">
        <v>239</v>
      </c>
      <c r="BN44" s="75" t="s">
        <v>231</v>
      </c>
      <c r="BO44" s="75" t="s">
        <v>231</v>
      </c>
      <c r="BP44" s="75" t="s">
        <v>231</v>
      </c>
      <c r="BQ44" s="75"/>
      <c r="BR44" s="75" t="s">
        <v>239</v>
      </c>
      <c r="BS44" s="75" t="s">
        <v>239</v>
      </c>
      <c r="BT44" s="75" t="s">
        <v>239</v>
      </c>
      <c r="BU44" s="75" t="s">
        <v>239</v>
      </c>
      <c r="BV44" s="75"/>
      <c r="BW44" s="81" t="s">
        <v>246</v>
      </c>
      <c r="BX44" s="81" t="s">
        <v>239</v>
      </c>
      <c r="BY44" s="81" t="s">
        <v>239</v>
      </c>
      <c r="BZ44" s="81" t="s">
        <v>239</v>
      </c>
      <c r="CA44" s="81" t="s">
        <v>239</v>
      </c>
      <c r="CB44" s="81" t="s">
        <v>246</v>
      </c>
      <c r="CC44" s="77"/>
      <c r="CD44" s="75" t="s">
        <v>231</v>
      </c>
      <c r="CE44" s="81" t="s">
        <v>239</v>
      </c>
      <c r="CF44" s="75" t="s">
        <v>231</v>
      </c>
      <c r="CG44" s="81" t="s">
        <v>239</v>
      </c>
      <c r="CH44" s="75" t="s">
        <v>231</v>
      </c>
      <c r="CI44" s="77"/>
      <c r="CJ44" s="81" t="s">
        <v>239</v>
      </c>
      <c r="CK44" s="81" t="s">
        <v>246</v>
      </c>
      <c r="CL44" s="81" t="s">
        <v>239</v>
      </c>
      <c r="CM44" s="81" t="s">
        <v>239</v>
      </c>
      <c r="CN44" s="81" t="s">
        <v>239</v>
      </c>
      <c r="CO44" s="81" t="s">
        <v>246</v>
      </c>
      <c r="CP44" s="81" t="s">
        <v>239</v>
      </c>
      <c r="CQ44" s="81" t="s">
        <v>239</v>
      </c>
      <c r="CR44" s="81" t="s">
        <v>239</v>
      </c>
      <c r="CS44" s="81" t="s">
        <v>239</v>
      </c>
      <c r="CT44" s="81" t="s">
        <v>239</v>
      </c>
      <c r="CU44" s="81"/>
      <c r="CV44" s="75" t="s">
        <v>239</v>
      </c>
      <c r="CW44" s="75" t="s">
        <v>239</v>
      </c>
      <c r="CX44" s="75" t="s">
        <v>239</v>
      </c>
      <c r="CY44" s="75" t="s">
        <v>239</v>
      </c>
      <c r="CZ44" s="75" t="s">
        <v>239</v>
      </c>
      <c r="DA44" s="81"/>
      <c r="DB44" s="75" t="s">
        <v>231</v>
      </c>
      <c r="DC44" s="75" t="s">
        <v>239</v>
      </c>
      <c r="DD44" s="75" t="s">
        <v>239</v>
      </c>
      <c r="DE44" s="75" t="s">
        <v>239</v>
      </c>
      <c r="DF44" s="75" t="s">
        <v>239</v>
      </c>
      <c r="DG44" s="75" t="s">
        <v>231</v>
      </c>
      <c r="DH44" s="75"/>
      <c r="DI44" s="75" t="s">
        <v>231</v>
      </c>
      <c r="DJ44" s="75" t="s">
        <v>239</v>
      </c>
      <c r="DK44" s="75" t="s">
        <v>239</v>
      </c>
      <c r="DL44" s="75" t="s">
        <v>231</v>
      </c>
      <c r="DM44" s="75" t="s">
        <v>231</v>
      </c>
      <c r="DN44" s="75" t="s">
        <v>231</v>
      </c>
      <c r="DO44" s="75"/>
      <c r="DP44" s="75" t="s">
        <v>231</v>
      </c>
      <c r="DQ44" s="75" t="s">
        <v>239</v>
      </c>
      <c r="DR44" s="75" t="s">
        <v>231</v>
      </c>
      <c r="DS44" s="75" t="s">
        <v>239</v>
      </c>
      <c r="DT44" s="75" t="s">
        <v>231</v>
      </c>
      <c r="DU44" s="75"/>
      <c r="DV44" s="75" t="s">
        <v>239</v>
      </c>
      <c r="DW44" s="75" t="s">
        <v>239</v>
      </c>
      <c r="DX44" s="75" t="s">
        <v>231</v>
      </c>
      <c r="DY44" s="75" t="s">
        <v>231</v>
      </c>
      <c r="DZ44" s="75" t="s">
        <v>239</v>
      </c>
      <c r="EA44" s="75" t="s">
        <v>239</v>
      </c>
      <c r="EB44" s="75" t="s">
        <v>231</v>
      </c>
      <c r="EC44" s="75" t="s">
        <v>239</v>
      </c>
      <c r="ED44" s="75" t="s">
        <v>239</v>
      </c>
      <c r="EE44" s="75"/>
      <c r="EF44" s="75" t="s">
        <v>231</v>
      </c>
      <c r="EG44" s="75" t="s">
        <v>239</v>
      </c>
      <c r="EH44" s="75" t="s">
        <v>231</v>
      </c>
      <c r="EI44" s="75" t="s">
        <v>239</v>
      </c>
      <c r="EJ44" s="75" t="s">
        <v>231</v>
      </c>
      <c r="EK44" s="75"/>
      <c r="EL44" s="75" t="s">
        <v>239</v>
      </c>
      <c r="EM44" s="75" t="s">
        <v>239</v>
      </c>
      <c r="EN44" s="75" t="s">
        <v>231</v>
      </c>
      <c r="EO44" s="75" t="s">
        <v>239</v>
      </c>
      <c r="EP44" s="75" t="s">
        <v>239</v>
      </c>
      <c r="EQ44" s="75"/>
      <c r="ER44" s="75" t="s">
        <v>231</v>
      </c>
      <c r="ES44" s="75" t="s">
        <v>239</v>
      </c>
      <c r="ET44" s="75" t="s">
        <v>239</v>
      </c>
      <c r="EU44" s="75" t="s">
        <v>239</v>
      </c>
      <c r="EV44" s="75" t="s">
        <v>231</v>
      </c>
      <c r="EW44" s="75" t="s">
        <v>231</v>
      </c>
      <c r="EX44" s="75" t="s">
        <v>231</v>
      </c>
      <c r="EY44" s="75"/>
      <c r="EZ44" s="75" t="s">
        <v>231</v>
      </c>
      <c r="FA44" s="75" t="s">
        <v>239</v>
      </c>
      <c r="FB44" s="75" t="s">
        <v>239</v>
      </c>
      <c r="FC44" s="75" t="s">
        <v>231</v>
      </c>
      <c r="FD44" s="75" t="s">
        <v>231</v>
      </c>
      <c r="FE44" s="75" t="s">
        <v>231</v>
      </c>
      <c r="FF44" s="75"/>
      <c r="FG44" s="81" t="s">
        <v>239</v>
      </c>
      <c r="FH44" s="81" t="s">
        <v>246</v>
      </c>
      <c r="FI44" s="81" t="s">
        <v>239</v>
      </c>
      <c r="FJ44" s="81" t="s">
        <v>239</v>
      </c>
      <c r="FK44" s="81" t="s">
        <v>239</v>
      </c>
      <c r="FL44" s="75"/>
      <c r="FM44" s="75" t="s">
        <v>239</v>
      </c>
      <c r="FN44" s="75" t="s">
        <v>239</v>
      </c>
      <c r="FO44" s="75" t="s">
        <v>231</v>
      </c>
      <c r="FP44" s="75" t="s">
        <v>231</v>
      </c>
      <c r="FQ44" s="75" t="s">
        <v>239</v>
      </c>
      <c r="FR44" s="75"/>
      <c r="FS44" s="75" t="s">
        <v>231</v>
      </c>
      <c r="FT44" s="75" t="s">
        <v>239</v>
      </c>
      <c r="FU44" s="75" t="s">
        <v>231</v>
      </c>
      <c r="FV44" s="75" t="s">
        <v>239</v>
      </c>
      <c r="FW44" s="75" t="s">
        <v>231</v>
      </c>
      <c r="FX44" s="75" t="s">
        <v>231</v>
      </c>
      <c r="FY44" s="75"/>
      <c r="FZ44" s="75" t="s">
        <v>239</v>
      </c>
      <c r="GA44" s="75"/>
      <c r="GB44" s="75" t="s">
        <v>239</v>
      </c>
      <c r="GC44" s="75" t="s">
        <v>239</v>
      </c>
      <c r="GD44" s="75" t="s">
        <v>231</v>
      </c>
      <c r="GE44" s="75" t="s">
        <v>231</v>
      </c>
      <c r="GF44" s="75" t="s">
        <v>239</v>
      </c>
      <c r="GG44" s="75"/>
      <c r="GH44" s="81" t="s">
        <v>239</v>
      </c>
      <c r="GI44" s="81" t="s">
        <v>246</v>
      </c>
      <c r="GJ44" s="81" t="s">
        <v>239</v>
      </c>
      <c r="GK44" s="81" t="s">
        <v>239</v>
      </c>
      <c r="GL44" s="81" t="s">
        <v>239</v>
      </c>
      <c r="GM44" s="81"/>
      <c r="GN44" s="81" t="s">
        <v>351</v>
      </c>
      <c r="GO44" s="75" t="s">
        <v>239</v>
      </c>
      <c r="GP44" s="75" t="s">
        <v>239</v>
      </c>
      <c r="GQ44" s="81" t="s">
        <v>351</v>
      </c>
      <c r="GR44" s="81"/>
      <c r="GS44" s="75" t="s">
        <v>231</v>
      </c>
      <c r="GT44" s="75" t="s">
        <v>239</v>
      </c>
      <c r="GU44" s="75" t="s">
        <v>231</v>
      </c>
      <c r="GV44" s="75" t="s">
        <v>231</v>
      </c>
      <c r="GW44" s="75" t="s">
        <v>231</v>
      </c>
      <c r="GX44" s="75" t="s">
        <v>239</v>
      </c>
      <c r="GY44" s="75" t="s">
        <v>231</v>
      </c>
      <c r="GZ44" s="75" t="s">
        <v>231</v>
      </c>
      <c r="HA44" s="75" t="s">
        <v>231</v>
      </c>
      <c r="HB44" s="75" t="s">
        <v>231</v>
      </c>
      <c r="HC44" s="75" t="s">
        <v>239</v>
      </c>
      <c r="HD44" s="75" t="s">
        <v>231</v>
      </c>
      <c r="HE44" s="75"/>
      <c r="HF44" s="75" t="s">
        <v>231</v>
      </c>
      <c r="HG44" s="75" t="s">
        <v>239</v>
      </c>
      <c r="HH44" s="75" t="s">
        <v>239</v>
      </c>
      <c r="HI44" s="75" t="s">
        <v>231</v>
      </c>
      <c r="HJ44" s="75" t="s">
        <v>231</v>
      </c>
      <c r="HK44" s="75" t="s">
        <v>239</v>
      </c>
      <c r="HL44" s="75" t="s">
        <v>231</v>
      </c>
      <c r="HM44" s="75"/>
      <c r="HN44" s="75" t="s">
        <v>231</v>
      </c>
      <c r="HO44" s="75" t="s">
        <v>231</v>
      </c>
      <c r="HP44" s="75" t="s">
        <v>239</v>
      </c>
      <c r="HQ44" s="75" t="s">
        <v>239</v>
      </c>
      <c r="HR44" s="75" t="s">
        <v>231</v>
      </c>
      <c r="HS44" s="75" t="s">
        <v>231</v>
      </c>
      <c r="HT44" s="75"/>
      <c r="HU44" s="75" t="s">
        <v>231</v>
      </c>
      <c r="HV44" s="75" t="s">
        <v>239</v>
      </c>
      <c r="HW44" s="75" t="s">
        <v>231</v>
      </c>
      <c r="HX44" s="75" t="s">
        <v>231</v>
      </c>
      <c r="HY44" s="75" t="s">
        <v>231</v>
      </c>
      <c r="HZ44" s="75" t="s">
        <v>231</v>
      </c>
      <c r="IA44" s="75"/>
      <c r="IB44" s="81" t="s">
        <v>239</v>
      </c>
      <c r="IC44" s="81" t="s">
        <v>246</v>
      </c>
      <c r="ID44" s="81" t="s">
        <v>246</v>
      </c>
      <c r="IE44" s="81" t="s">
        <v>246</v>
      </c>
      <c r="IF44" s="81" t="s">
        <v>239</v>
      </c>
      <c r="IG44" s="81" t="s">
        <v>239</v>
      </c>
      <c r="IH44" s="81"/>
      <c r="II44" s="75" t="s">
        <v>239</v>
      </c>
      <c r="IJ44" s="75" t="s">
        <v>239</v>
      </c>
      <c r="IK44" s="75" t="s">
        <v>239</v>
      </c>
      <c r="IL44" s="75" t="s">
        <v>239</v>
      </c>
      <c r="IM44" s="75" t="s">
        <v>239</v>
      </c>
      <c r="IN44" s="81"/>
      <c r="IO44" s="81" t="s">
        <v>351</v>
      </c>
      <c r="IP44" s="75" t="s">
        <v>231</v>
      </c>
      <c r="IQ44" s="81" t="s">
        <v>351</v>
      </c>
      <c r="IR44" s="81" t="s">
        <v>351</v>
      </c>
      <c r="IS44" s="75" t="s">
        <v>231</v>
      </c>
      <c r="IT44" s="75" t="s">
        <v>239</v>
      </c>
      <c r="IU44" s="81" t="s">
        <v>351</v>
      </c>
      <c r="IV44" s="81"/>
      <c r="IW44" s="75" t="s">
        <v>231</v>
      </c>
      <c r="IX44" s="75" t="s">
        <v>231</v>
      </c>
      <c r="IY44" s="75" t="s">
        <v>239</v>
      </c>
      <c r="IZ44" s="75" t="s">
        <v>231</v>
      </c>
      <c r="JA44" s="75" t="s">
        <v>231</v>
      </c>
      <c r="JB44" s="81"/>
      <c r="JC44" s="81" t="s">
        <v>239</v>
      </c>
      <c r="JD44" s="81" t="s">
        <v>231</v>
      </c>
      <c r="JE44" s="81" t="s">
        <v>239</v>
      </c>
      <c r="JF44" s="81" t="s">
        <v>246</v>
      </c>
      <c r="JG44" s="81" t="s">
        <v>246</v>
      </c>
      <c r="JH44" s="81" t="s">
        <v>246</v>
      </c>
      <c r="JI44" s="81" t="s">
        <v>246</v>
      </c>
      <c r="JJ44" s="81" t="s">
        <v>239</v>
      </c>
      <c r="JK44" s="81" t="s">
        <v>239</v>
      </c>
      <c r="JL44" s="81"/>
      <c r="JM44" s="75" t="s">
        <v>231</v>
      </c>
      <c r="JN44" s="75" t="s">
        <v>239</v>
      </c>
      <c r="JO44" s="75" t="s">
        <v>231</v>
      </c>
      <c r="JP44" s="81"/>
      <c r="JQ44" s="75" t="s">
        <v>231</v>
      </c>
      <c r="JR44" s="75" t="s">
        <v>239</v>
      </c>
      <c r="JS44" s="75" t="s">
        <v>239</v>
      </c>
      <c r="JT44" s="75" t="s">
        <v>239</v>
      </c>
      <c r="JU44" s="75" t="s">
        <v>231</v>
      </c>
      <c r="JV44" s="75" t="s">
        <v>231</v>
      </c>
    </row>
    <row r="45" spans="1:282" x14ac:dyDescent="0.15">
      <c r="A45" s="214" t="s">
        <v>75</v>
      </c>
      <c r="B45" s="6" t="s">
        <v>17</v>
      </c>
      <c r="C45" s="6">
        <v>85000</v>
      </c>
      <c r="D45" s="6">
        <v>2</v>
      </c>
      <c r="E45" s="6">
        <v>6</v>
      </c>
      <c r="F45" s="6">
        <v>3</v>
      </c>
      <c r="G45" s="6" t="s">
        <v>36</v>
      </c>
      <c r="H45" s="6" t="s">
        <v>37</v>
      </c>
      <c r="I45" s="6" t="s">
        <v>46</v>
      </c>
      <c r="J45" s="21" t="s">
        <v>76</v>
      </c>
      <c r="K45" s="21">
        <v>1</v>
      </c>
      <c r="L45" s="21">
        <v>2</v>
      </c>
      <c r="M45" s="21">
        <v>2</v>
      </c>
      <c r="N45" s="21">
        <v>1</v>
      </c>
      <c r="O45" s="21">
        <v>0</v>
      </c>
      <c r="P45" s="21" t="str">
        <f>IF(TeamT[[#This Row],[General]]+TeamT[[#This Row],[Agility]]+TeamT[[#This Row],[Strength]]+TeamT[[#This Row],[Passing]]+TeamT[[#This Row],[Mutation]]&gt;0,IF(TeamT[[#This Row],[General]]=1,"G","")&amp;IF(TeamT[[#This Row],[Agility]]=1,"A","")&amp;IF(TeamT[[#This Row],[Strength]]=1,"S","")&amp;IF(TeamT[[#This Row],[Passing]]=1,"P","")&amp;IF(TeamT[[#This Row],[Mutation]]=1,"M",""),"Star")</f>
        <v>GP</v>
      </c>
      <c r="Q45" s="21" t="str">
        <f>IF(TeamT[[#This Row],[General]]=2,"G","")&amp;IF(TeamT[[#This Row],[Agility]]=2,"A","")&amp;IF(TeamT[[#This Row],[Strength]]=2,"S","")&amp;IF(TeamT[[#This Row],[Passing]]=2,"P","")&amp;IF(TeamT[[#This Row],[Mutation]]=2,"M","")</f>
        <v>AS</v>
      </c>
      <c r="R45" s="212"/>
      <c r="S45" s="21">
        <v>3</v>
      </c>
      <c r="T45" s="21">
        <v>4</v>
      </c>
      <c r="U45" s="21">
        <v>9</v>
      </c>
      <c r="AA45" s="76" t="e">
        <f>HLOOKUP(Roster!$E$5,Team!$BL$2:$MK$128,44,FALSE)</f>
        <v>#N/A</v>
      </c>
      <c r="AB45" s="76" t="e">
        <f>HLOOKUP(Roster!$E$6,Team!$BL$2:$MK$128,44,FALSE)</f>
        <v>#N/A</v>
      </c>
      <c r="AC45" s="76" t="e">
        <f>HLOOKUP(Roster!$E$7,Team!$BL$2:$MK$128,44,FALSE)</f>
        <v>#N/A</v>
      </c>
      <c r="AD45" s="76" t="e">
        <f>HLOOKUP(Roster!$E$8,Team!$BL$2:$MK$128,44,FALSE)</f>
        <v>#N/A</v>
      </c>
      <c r="AE45" s="76" t="e">
        <f>HLOOKUP(Roster!$E$9,Team!$BL$2:$MK$128,44,FALSE)</f>
        <v>#N/A</v>
      </c>
      <c r="AF45" s="76" t="e">
        <f>HLOOKUP(Roster!$E$10,Team!$BL$2:$MK$128,44,FALSE)</f>
        <v>#N/A</v>
      </c>
      <c r="AG45" s="76" t="e">
        <f>HLOOKUP(Roster!$E$11,Team!$BL$2:$MK$128,44,FALSE)</f>
        <v>#N/A</v>
      </c>
      <c r="AH45" s="76" t="e">
        <f>HLOOKUP(Roster!$E$12,Team!$BL$2:$MK$128,44,FALSE)</f>
        <v>#N/A</v>
      </c>
      <c r="AI45" s="76" t="e">
        <f>HLOOKUP(Roster!$E$13,Team!$BL$2:$MK$128,44,FALSE)</f>
        <v>#N/A</v>
      </c>
      <c r="AJ45" s="76" t="e">
        <f>HLOOKUP(Roster!$E$14,Team!$BL$2:$MK$128,44,FALSE)</f>
        <v>#N/A</v>
      </c>
      <c r="AK45" s="76" t="e">
        <f>HLOOKUP(Roster!$E$15,Team!$BL$2:$MK$128,44,FALSE)</f>
        <v>#N/A</v>
      </c>
      <c r="AL45" s="76" t="e">
        <f>HLOOKUP(Roster!$E$16,Team!$BL$2:$MK$128,44,FALSE)</f>
        <v>#N/A</v>
      </c>
      <c r="AM45" s="76" t="e">
        <f>HLOOKUP(Roster!$E$17,Team!$BL$2:$MK$128,44,FALSE)</f>
        <v>#N/A</v>
      </c>
      <c r="AN45" s="76" t="e">
        <f>HLOOKUP(Roster!$E$18,Team!$BL$2:$MK$128,44,FALSE)</f>
        <v>#N/A</v>
      </c>
      <c r="AO45" s="76" t="e">
        <f>HLOOKUP(Roster!$E$19,Team!$BL$2:$MK$128,44,FALSE)</f>
        <v>#N/A</v>
      </c>
      <c r="AP45" s="76" t="e">
        <f>HLOOKUP(Roster!$E$20,Team!$BL$2:$MK$128,44,FALSE)</f>
        <v>#N/A</v>
      </c>
      <c r="AR45" s="108">
        <f t="shared" si="1"/>
        <v>0</v>
      </c>
      <c r="AS45" s="108">
        <f t="shared" si="2"/>
        <v>0</v>
      </c>
      <c r="AT45" s="108">
        <f t="shared" si="3"/>
        <v>0</v>
      </c>
      <c r="AU45" s="108">
        <f t="shared" si="4"/>
        <v>0</v>
      </c>
      <c r="AV45" s="108">
        <f t="shared" si="5"/>
        <v>0</v>
      </c>
      <c r="AW45" s="108">
        <f t="shared" si="6"/>
        <v>0</v>
      </c>
      <c r="AX45" s="108">
        <f t="shared" si="7"/>
        <v>0</v>
      </c>
      <c r="AY45" s="108">
        <f t="shared" si="8"/>
        <v>0</v>
      </c>
      <c r="AZ45" s="108">
        <f t="shared" si="9"/>
        <v>0</v>
      </c>
      <c r="BA45" s="108">
        <f t="shared" si="10"/>
        <v>0</v>
      </c>
      <c r="BB45" s="108">
        <f t="shared" si="11"/>
        <v>0</v>
      </c>
      <c r="BC45" s="108">
        <f t="shared" si="12"/>
        <v>0</v>
      </c>
      <c r="BD45" s="108">
        <f t="shared" si="13"/>
        <v>0</v>
      </c>
      <c r="BE45" s="108">
        <f t="shared" si="14"/>
        <v>0</v>
      </c>
      <c r="BF45" s="108">
        <f t="shared" si="15"/>
        <v>0</v>
      </c>
      <c r="BG45" s="108">
        <f t="shared" si="16"/>
        <v>0</v>
      </c>
      <c r="BL45" s="74" t="s">
        <v>305</v>
      </c>
      <c r="BM45" s="75" t="s">
        <v>224</v>
      </c>
      <c r="BN45" s="74" t="s">
        <v>305</v>
      </c>
      <c r="BO45" s="74" t="s">
        <v>305</v>
      </c>
      <c r="BP45" s="74" t="s">
        <v>305</v>
      </c>
      <c r="BQ45" s="75"/>
      <c r="BR45" s="75" t="s">
        <v>224</v>
      </c>
      <c r="BS45" s="75" t="s">
        <v>224</v>
      </c>
      <c r="BT45" s="75" t="s">
        <v>224</v>
      </c>
      <c r="BU45" s="75" t="s">
        <v>224</v>
      </c>
      <c r="BV45" s="75"/>
      <c r="BW45" s="81" t="s">
        <v>70</v>
      </c>
      <c r="BX45" s="81" t="s">
        <v>224</v>
      </c>
      <c r="BY45" s="81" t="s">
        <v>224</v>
      </c>
      <c r="BZ45" s="81" t="s">
        <v>224</v>
      </c>
      <c r="CA45" s="81" t="s">
        <v>224</v>
      </c>
      <c r="CB45" s="81" t="s">
        <v>70</v>
      </c>
      <c r="CC45" s="77"/>
      <c r="CD45" s="74" t="s">
        <v>305</v>
      </c>
      <c r="CE45" s="81" t="s">
        <v>224</v>
      </c>
      <c r="CF45" s="74" t="s">
        <v>305</v>
      </c>
      <c r="CG45" s="81" t="s">
        <v>224</v>
      </c>
      <c r="CH45" s="74" t="s">
        <v>305</v>
      </c>
      <c r="CI45" s="77"/>
      <c r="CJ45" s="81" t="s">
        <v>224</v>
      </c>
      <c r="CK45" s="81" t="s">
        <v>70</v>
      </c>
      <c r="CL45" s="81" t="s">
        <v>224</v>
      </c>
      <c r="CM45" s="81" t="s">
        <v>224</v>
      </c>
      <c r="CN45" s="81" t="s">
        <v>224</v>
      </c>
      <c r="CO45" s="81" t="s">
        <v>70</v>
      </c>
      <c r="CP45" s="81" t="s">
        <v>224</v>
      </c>
      <c r="CQ45" s="81" t="s">
        <v>224</v>
      </c>
      <c r="CR45" s="81" t="s">
        <v>224</v>
      </c>
      <c r="CS45" s="81" t="s">
        <v>224</v>
      </c>
      <c r="CT45" s="81" t="s">
        <v>224</v>
      </c>
      <c r="CU45" s="81"/>
      <c r="CV45" s="75" t="s">
        <v>224</v>
      </c>
      <c r="CW45" s="75" t="s">
        <v>224</v>
      </c>
      <c r="CX45" s="75" t="s">
        <v>224</v>
      </c>
      <c r="CY45" s="75" t="s">
        <v>224</v>
      </c>
      <c r="CZ45" s="75" t="s">
        <v>224</v>
      </c>
      <c r="DA45" s="81"/>
      <c r="DB45" s="74" t="s">
        <v>305</v>
      </c>
      <c r="DC45" s="75" t="s">
        <v>224</v>
      </c>
      <c r="DD45" s="75" t="s">
        <v>224</v>
      </c>
      <c r="DE45" s="75" t="s">
        <v>224</v>
      </c>
      <c r="DF45" s="75" t="s">
        <v>224</v>
      </c>
      <c r="DG45" s="74" t="s">
        <v>305</v>
      </c>
      <c r="DH45" s="74"/>
      <c r="DI45" s="74" t="s">
        <v>305</v>
      </c>
      <c r="DJ45" s="75" t="s">
        <v>224</v>
      </c>
      <c r="DK45" s="75" t="s">
        <v>224</v>
      </c>
      <c r="DL45" s="74" t="s">
        <v>305</v>
      </c>
      <c r="DM45" s="74" t="s">
        <v>305</v>
      </c>
      <c r="DN45" s="74" t="s">
        <v>305</v>
      </c>
      <c r="DO45" s="74"/>
      <c r="DP45" s="74" t="s">
        <v>305</v>
      </c>
      <c r="DQ45" s="75" t="s">
        <v>224</v>
      </c>
      <c r="DR45" s="74" t="s">
        <v>305</v>
      </c>
      <c r="DS45" s="75" t="s">
        <v>224</v>
      </c>
      <c r="DT45" s="74" t="s">
        <v>305</v>
      </c>
      <c r="DU45" s="74"/>
      <c r="DV45" s="75" t="s">
        <v>224</v>
      </c>
      <c r="DW45" s="75" t="s">
        <v>224</v>
      </c>
      <c r="DX45" s="74" t="s">
        <v>305</v>
      </c>
      <c r="DY45" s="74" t="s">
        <v>305</v>
      </c>
      <c r="DZ45" s="75" t="s">
        <v>224</v>
      </c>
      <c r="EA45" s="75" t="s">
        <v>224</v>
      </c>
      <c r="EB45" s="74" t="s">
        <v>305</v>
      </c>
      <c r="EC45" s="75" t="s">
        <v>224</v>
      </c>
      <c r="ED45" s="75" t="s">
        <v>224</v>
      </c>
      <c r="EE45" s="75"/>
      <c r="EF45" s="74" t="s">
        <v>305</v>
      </c>
      <c r="EG45" s="75" t="s">
        <v>224</v>
      </c>
      <c r="EH45" s="74" t="s">
        <v>305</v>
      </c>
      <c r="EI45" s="75" t="s">
        <v>224</v>
      </c>
      <c r="EJ45" s="74" t="s">
        <v>305</v>
      </c>
      <c r="EK45" s="74"/>
      <c r="EL45" s="75" t="s">
        <v>224</v>
      </c>
      <c r="EM45" s="75" t="s">
        <v>224</v>
      </c>
      <c r="EN45" s="74" t="s">
        <v>305</v>
      </c>
      <c r="EO45" s="75" t="s">
        <v>224</v>
      </c>
      <c r="EP45" s="75" t="s">
        <v>224</v>
      </c>
      <c r="EQ45" s="74"/>
      <c r="ER45" s="74" t="s">
        <v>305</v>
      </c>
      <c r="ES45" s="75" t="s">
        <v>224</v>
      </c>
      <c r="ET45" s="75" t="s">
        <v>224</v>
      </c>
      <c r="EU45" s="75" t="s">
        <v>224</v>
      </c>
      <c r="EV45" s="74" t="s">
        <v>305</v>
      </c>
      <c r="EW45" s="74" t="s">
        <v>305</v>
      </c>
      <c r="EX45" s="74" t="s">
        <v>305</v>
      </c>
      <c r="EY45" s="74"/>
      <c r="EZ45" s="74" t="s">
        <v>305</v>
      </c>
      <c r="FA45" s="75" t="s">
        <v>224</v>
      </c>
      <c r="FB45" s="75" t="s">
        <v>224</v>
      </c>
      <c r="FC45" s="74" t="s">
        <v>305</v>
      </c>
      <c r="FD45" s="74" t="s">
        <v>305</v>
      </c>
      <c r="FE45" s="74" t="s">
        <v>305</v>
      </c>
      <c r="FF45" s="74"/>
      <c r="FG45" s="81" t="s">
        <v>224</v>
      </c>
      <c r="FH45" s="81" t="s">
        <v>70</v>
      </c>
      <c r="FI45" s="81" t="s">
        <v>224</v>
      </c>
      <c r="FJ45" s="81" t="s">
        <v>224</v>
      </c>
      <c r="FK45" s="81" t="s">
        <v>224</v>
      </c>
      <c r="FL45" s="74"/>
      <c r="FM45" s="75" t="s">
        <v>224</v>
      </c>
      <c r="FN45" s="75" t="s">
        <v>224</v>
      </c>
      <c r="FO45" s="74" t="s">
        <v>305</v>
      </c>
      <c r="FP45" s="74" t="s">
        <v>305</v>
      </c>
      <c r="FQ45" s="75" t="s">
        <v>224</v>
      </c>
      <c r="FR45" s="75"/>
      <c r="FS45" s="74" t="s">
        <v>305</v>
      </c>
      <c r="FT45" s="75" t="s">
        <v>224</v>
      </c>
      <c r="FU45" s="74" t="s">
        <v>305</v>
      </c>
      <c r="FV45" s="75" t="s">
        <v>224</v>
      </c>
      <c r="FW45" s="74" t="s">
        <v>305</v>
      </c>
      <c r="FX45" s="74" t="s">
        <v>305</v>
      </c>
      <c r="FY45" s="74"/>
      <c r="FZ45" s="75" t="s">
        <v>224</v>
      </c>
      <c r="GA45" s="75"/>
      <c r="GB45" s="75" t="s">
        <v>224</v>
      </c>
      <c r="GC45" s="75" t="s">
        <v>224</v>
      </c>
      <c r="GD45" s="74" t="s">
        <v>305</v>
      </c>
      <c r="GE45" s="74" t="s">
        <v>305</v>
      </c>
      <c r="GF45" s="75" t="s">
        <v>224</v>
      </c>
      <c r="GG45" s="74"/>
      <c r="GH45" s="81" t="s">
        <v>224</v>
      </c>
      <c r="GI45" s="81" t="s">
        <v>70</v>
      </c>
      <c r="GJ45" s="81" t="s">
        <v>224</v>
      </c>
      <c r="GK45" s="81" t="s">
        <v>224</v>
      </c>
      <c r="GL45" s="81" t="s">
        <v>224</v>
      </c>
      <c r="GM45" s="81"/>
      <c r="GN45" s="81" t="s">
        <v>352</v>
      </c>
      <c r="GO45" s="75" t="s">
        <v>224</v>
      </c>
      <c r="GP45" s="75" t="s">
        <v>224</v>
      </c>
      <c r="GQ45" s="81" t="s">
        <v>352</v>
      </c>
      <c r="GR45" s="81"/>
      <c r="GS45" s="74" t="s">
        <v>305</v>
      </c>
      <c r="GT45" s="75" t="s">
        <v>224</v>
      </c>
      <c r="GU45" s="74" t="s">
        <v>305</v>
      </c>
      <c r="GV45" s="74" t="s">
        <v>305</v>
      </c>
      <c r="GW45" s="74" t="s">
        <v>305</v>
      </c>
      <c r="GX45" s="75" t="s">
        <v>224</v>
      </c>
      <c r="GY45" s="74" t="s">
        <v>305</v>
      </c>
      <c r="GZ45" s="74" t="s">
        <v>305</v>
      </c>
      <c r="HA45" s="74" t="s">
        <v>305</v>
      </c>
      <c r="HB45" s="74" t="s">
        <v>305</v>
      </c>
      <c r="HC45" s="75" t="s">
        <v>224</v>
      </c>
      <c r="HD45" s="74" t="s">
        <v>305</v>
      </c>
      <c r="HE45" s="74"/>
      <c r="HF45" s="74" t="s">
        <v>305</v>
      </c>
      <c r="HG45" s="75" t="s">
        <v>224</v>
      </c>
      <c r="HH45" s="75" t="s">
        <v>224</v>
      </c>
      <c r="HI45" s="74" t="s">
        <v>305</v>
      </c>
      <c r="HJ45" s="74" t="s">
        <v>305</v>
      </c>
      <c r="HK45" s="75" t="s">
        <v>224</v>
      </c>
      <c r="HL45" s="74" t="s">
        <v>305</v>
      </c>
      <c r="HM45" s="74"/>
      <c r="HN45" s="74" t="s">
        <v>305</v>
      </c>
      <c r="HO45" s="74" t="s">
        <v>305</v>
      </c>
      <c r="HP45" s="75" t="s">
        <v>224</v>
      </c>
      <c r="HQ45" s="75" t="s">
        <v>224</v>
      </c>
      <c r="HR45" s="74" t="s">
        <v>305</v>
      </c>
      <c r="HS45" s="74" t="s">
        <v>305</v>
      </c>
      <c r="HT45" s="74"/>
      <c r="HU45" s="74" t="s">
        <v>305</v>
      </c>
      <c r="HV45" s="75" t="s">
        <v>224</v>
      </c>
      <c r="HW45" s="74" t="s">
        <v>305</v>
      </c>
      <c r="HX45" s="74" t="s">
        <v>305</v>
      </c>
      <c r="HY45" s="74" t="s">
        <v>305</v>
      </c>
      <c r="HZ45" s="74" t="s">
        <v>305</v>
      </c>
      <c r="IA45" s="74"/>
      <c r="IB45" s="81" t="s">
        <v>224</v>
      </c>
      <c r="IC45" s="81" t="s">
        <v>70</v>
      </c>
      <c r="ID45" s="81" t="s">
        <v>70</v>
      </c>
      <c r="IE45" s="81" t="s">
        <v>70</v>
      </c>
      <c r="IF45" s="81" t="s">
        <v>224</v>
      </c>
      <c r="IG45" s="81" t="s">
        <v>224</v>
      </c>
      <c r="IH45" s="81"/>
      <c r="II45" s="75" t="s">
        <v>224</v>
      </c>
      <c r="IJ45" s="75" t="s">
        <v>224</v>
      </c>
      <c r="IK45" s="75" t="s">
        <v>224</v>
      </c>
      <c r="IL45" s="75" t="s">
        <v>224</v>
      </c>
      <c r="IM45" s="75" t="s">
        <v>224</v>
      </c>
      <c r="IN45" s="81"/>
      <c r="IO45" s="81" t="s">
        <v>352</v>
      </c>
      <c r="IP45" s="75" t="s">
        <v>316</v>
      </c>
      <c r="IQ45" s="81" t="s">
        <v>352</v>
      </c>
      <c r="IR45" s="81" t="s">
        <v>352</v>
      </c>
      <c r="IS45" s="74" t="s">
        <v>305</v>
      </c>
      <c r="IT45" s="75" t="s">
        <v>224</v>
      </c>
      <c r="IU45" s="81" t="s">
        <v>352</v>
      </c>
      <c r="IV45" s="81"/>
      <c r="IW45" s="74" t="s">
        <v>305</v>
      </c>
      <c r="IX45" s="75" t="s">
        <v>316</v>
      </c>
      <c r="IY45" s="75" t="s">
        <v>224</v>
      </c>
      <c r="IZ45" s="74" t="s">
        <v>305</v>
      </c>
      <c r="JA45" s="74" t="s">
        <v>305</v>
      </c>
      <c r="JB45" s="81"/>
      <c r="JC45" s="81" t="s">
        <v>224</v>
      </c>
      <c r="JD45" s="81" t="s">
        <v>328</v>
      </c>
      <c r="JE45" s="81" t="s">
        <v>224</v>
      </c>
      <c r="JF45" s="81" t="s">
        <v>70</v>
      </c>
      <c r="JG45" s="81" t="s">
        <v>70</v>
      </c>
      <c r="JH45" s="81" t="s">
        <v>70</v>
      </c>
      <c r="JI45" s="81" t="s">
        <v>70</v>
      </c>
      <c r="JJ45" s="81" t="s">
        <v>224</v>
      </c>
      <c r="JK45" s="81" t="s">
        <v>224</v>
      </c>
      <c r="JL45" s="81"/>
      <c r="JM45" s="74" t="s">
        <v>305</v>
      </c>
      <c r="JN45" s="75" t="s">
        <v>224</v>
      </c>
      <c r="JO45" s="74" t="s">
        <v>305</v>
      </c>
      <c r="JP45" s="81"/>
      <c r="JQ45" s="74" t="s">
        <v>305</v>
      </c>
      <c r="JR45" s="75" t="s">
        <v>224</v>
      </c>
      <c r="JS45" s="75" t="s">
        <v>224</v>
      </c>
      <c r="JT45" s="75" t="s">
        <v>224</v>
      </c>
      <c r="JU45" s="74" t="s">
        <v>305</v>
      </c>
      <c r="JV45" s="74" t="s">
        <v>305</v>
      </c>
    </row>
    <row r="46" spans="1:282" x14ac:dyDescent="0.15">
      <c r="A46" s="214" t="s">
        <v>77</v>
      </c>
      <c r="B46" s="6" t="s">
        <v>17</v>
      </c>
      <c r="C46" s="6">
        <v>80000</v>
      </c>
      <c r="D46" s="6">
        <v>2</v>
      </c>
      <c r="E46" s="6">
        <v>5</v>
      </c>
      <c r="F46" s="6">
        <v>3</v>
      </c>
      <c r="G46" s="6" t="s">
        <v>36</v>
      </c>
      <c r="H46" s="6" t="s">
        <v>37</v>
      </c>
      <c r="I46" s="6" t="s">
        <v>41</v>
      </c>
      <c r="J46" s="21" t="s">
        <v>78</v>
      </c>
      <c r="K46" s="21">
        <v>1</v>
      </c>
      <c r="L46" s="21">
        <v>2</v>
      </c>
      <c r="M46" s="21">
        <v>1</v>
      </c>
      <c r="N46" s="21">
        <v>2</v>
      </c>
      <c r="O46" s="21">
        <v>0</v>
      </c>
      <c r="P46" s="21" t="str">
        <f>IF(TeamT[[#This Row],[General]]+TeamT[[#This Row],[Agility]]+TeamT[[#This Row],[Strength]]+TeamT[[#This Row],[Passing]]+TeamT[[#This Row],[Mutation]]&gt;0,IF(TeamT[[#This Row],[General]]=1,"G","")&amp;IF(TeamT[[#This Row],[Agility]]=1,"A","")&amp;IF(TeamT[[#This Row],[Strength]]=1,"S","")&amp;IF(TeamT[[#This Row],[Passing]]=1,"P","")&amp;IF(TeamT[[#This Row],[Mutation]]=1,"M",""),"Star")</f>
        <v>GS</v>
      </c>
      <c r="Q46" s="21" t="str">
        <f>IF(TeamT[[#This Row],[General]]=2,"G","")&amp;IF(TeamT[[#This Row],[Agility]]=2,"A","")&amp;IF(TeamT[[#This Row],[Strength]]=2,"S","")&amp;IF(TeamT[[#This Row],[Passing]]=2,"P","")&amp;IF(TeamT[[#This Row],[Mutation]]=2,"M","")</f>
        <v>AP</v>
      </c>
      <c r="R46" s="212"/>
      <c r="S46" s="21">
        <v>3</v>
      </c>
      <c r="T46" s="21">
        <v>4</v>
      </c>
      <c r="U46" s="21">
        <v>10</v>
      </c>
      <c r="AA46" s="76" t="e">
        <f>HLOOKUP(Roster!$E$5,Team!$BL$2:$MK$128,45,FALSE)</f>
        <v>#N/A</v>
      </c>
      <c r="AB46" s="76" t="e">
        <f>HLOOKUP(Roster!$E$6,Team!$BL$2:$MK$128,45,FALSE)</f>
        <v>#N/A</v>
      </c>
      <c r="AC46" s="76" t="e">
        <f>HLOOKUP(Roster!$E$7,Team!$BL$2:$MK$128,45,FALSE)</f>
        <v>#N/A</v>
      </c>
      <c r="AD46" s="76" t="e">
        <f>HLOOKUP(Roster!$E$8,Team!$BL$2:$MK$128,45,FALSE)</f>
        <v>#N/A</v>
      </c>
      <c r="AE46" s="76" t="e">
        <f>HLOOKUP(Roster!$E$9,Team!$BL$2:$MK$128,45,FALSE)</f>
        <v>#N/A</v>
      </c>
      <c r="AF46" s="76" t="e">
        <f>HLOOKUP(Roster!$E$10,Team!$BL$2:$MK$128,45,FALSE)</f>
        <v>#N/A</v>
      </c>
      <c r="AG46" s="76" t="e">
        <f>HLOOKUP(Roster!$E$11,Team!$BL$2:$MK$128,45,FALSE)</f>
        <v>#N/A</v>
      </c>
      <c r="AH46" s="76" t="e">
        <f>HLOOKUP(Roster!$E$12,Team!$BL$2:$MK$128,45,FALSE)</f>
        <v>#N/A</v>
      </c>
      <c r="AI46" s="76" t="e">
        <f>HLOOKUP(Roster!$E$13,Team!$BL$2:$MK$128,45,FALSE)</f>
        <v>#N/A</v>
      </c>
      <c r="AJ46" s="76" t="e">
        <f>HLOOKUP(Roster!$E$14,Team!$BL$2:$MK$128,45,FALSE)</f>
        <v>#N/A</v>
      </c>
      <c r="AK46" s="76" t="e">
        <f>HLOOKUP(Roster!$E$15,Team!$BL$2:$MK$128,45,FALSE)</f>
        <v>#N/A</v>
      </c>
      <c r="AL46" s="76" t="e">
        <f>HLOOKUP(Roster!$E$16,Team!$BL$2:$MK$128,45,FALSE)</f>
        <v>#N/A</v>
      </c>
      <c r="AM46" s="76" t="e">
        <f>HLOOKUP(Roster!$E$17,Team!$BL$2:$MK$128,45,FALSE)</f>
        <v>#N/A</v>
      </c>
      <c r="AN46" s="76" t="e">
        <f>HLOOKUP(Roster!$E$18,Team!$BL$2:$MK$128,45,FALSE)</f>
        <v>#N/A</v>
      </c>
      <c r="AO46" s="76" t="e">
        <f>HLOOKUP(Roster!$E$19,Team!$BL$2:$MK$128,45,FALSE)</f>
        <v>#N/A</v>
      </c>
      <c r="AP46" s="76" t="e">
        <f>HLOOKUP(Roster!$E$20,Team!$BL$2:$MK$128,45,FALSE)</f>
        <v>#N/A</v>
      </c>
      <c r="AR46" s="108">
        <f t="shared" si="1"/>
        <v>0</v>
      </c>
      <c r="AS46" s="108">
        <f t="shared" si="2"/>
        <v>0</v>
      </c>
      <c r="AT46" s="108">
        <f t="shared" si="3"/>
        <v>0</v>
      </c>
      <c r="AU46" s="108">
        <f t="shared" si="4"/>
        <v>0</v>
      </c>
      <c r="AV46" s="108">
        <f t="shared" si="5"/>
        <v>0</v>
      </c>
      <c r="AW46" s="108">
        <f t="shared" si="6"/>
        <v>0</v>
      </c>
      <c r="AX46" s="108">
        <f t="shared" si="7"/>
        <v>0</v>
      </c>
      <c r="AY46" s="108">
        <f t="shared" si="8"/>
        <v>0</v>
      </c>
      <c r="AZ46" s="108">
        <f t="shared" si="9"/>
        <v>0</v>
      </c>
      <c r="BA46" s="108">
        <f t="shared" si="10"/>
        <v>0</v>
      </c>
      <c r="BB46" s="108">
        <f t="shared" si="11"/>
        <v>0</v>
      </c>
      <c r="BC46" s="108">
        <f t="shared" si="12"/>
        <v>0</v>
      </c>
      <c r="BD46" s="108">
        <f t="shared" si="13"/>
        <v>0</v>
      </c>
      <c r="BE46" s="108">
        <f t="shared" si="14"/>
        <v>0</v>
      </c>
      <c r="BF46" s="108">
        <f t="shared" si="15"/>
        <v>0</v>
      </c>
      <c r="BG46" s="108">
        <f t="shared" si="16"/>
        <v>0</v>
      </c>
      <c r="BL46" s="74" t="s">
        <v>306</v>
      </c>
      <c r="BM46" s="74" t="s">
        <v>259</v>
      </c>
      <c r="BN46" s="74" t="s">
        <v>306</v>
      </c>
      <c r="BO46" s="74" t="s">
        <v>306</v>
      </c>
      <c r="BP46" s="74" t="s">
        <v>306</v>
      </c>
      <c r="BQ46" s="74"/>
      <c r="BR46" s="74" t="s">
        <v>259</v>
      </c>
      <c r="BS46" s="74" t="s">
        <v>259</v>
      </c>
      <c r="BT46" s="74" t="s">
        <v>259</v>
      </c>
      <c r="BU46" s="74" t="s">
        <v>259</v>
      </c>
      <c r="BV46" s="74"/>
      <c r="BW46" s="81" t="s">
        <v>232</v>
      </c>
      <c r="BX46" s="80" t="s">
        <v>259</v>
      </c>
      <c r="BY46" s="80" t="s">
        <v>259</v>
      </c>
      <c r="BZ46" s="80" t="s">
        <v>259</v>
      </c>
      <c r="CA46" s="80" t="s">
        <v>259</v>
      </c>
      <c r="CB46" s="81" t="s">
        <v>232</v>
      </c>
      <c r="CC46" s="77"/>
      <c r="CD46" s="74" t="s">
        <v>306</v>
      </c>
      <c r="CE46" s="80" t="s">
        <v>259</v>
      </c>
      <c r="CF46" s="74" t="s">
        <v>306</v>
      </c>
      <c r="CG46" s="80" t="s">
        <v>259</v>
      </c>
      <c r="CH46" s="74" t="s">
        <v>306</v>
      </c>
      <c r="CI46" s="77"/>
      <c r="CJ46" s="80" t="s">
        <v>259</v>
      </c>
      <c r="CK46" s="81" t="s">
        <v>232</v>
      </c>
      <c r="CL46" s="80" t="s">
        <v>259</v>
      </c>
      <c r="CM46" s="80" t="s">
        <v>259</v>
      </c>
      <c r="CN46" s="80" t="s">
        <v>259</v>
      </c>
      <c r="CO46" s="81" t="s">
        <v>232</v>
      </c>
      <c r="CP46" s="80" t="s">
        <v>259</v>
      </c>
      <c r="CQ46" s="80" t="s">
        <v>259</v>
      </c>
      <c r="CR46" s="80" t="s">
        <v>259</v>
      </c>
      <c r="CS46" s="80" t="s">
        <v>259</v>
      </c>
      <c r="CT46" s="80" t="s">
        <v>259</v>
      </c>
      <c r="CU46" s="80"/>
      <c r="CV46" s="74" t="s">
        <v>259</v>
      </c>
      <c r="CW46" s="74" t="s">
        <v>259</v>
      </c>
      <c r="CX46" s="74" t="s">
        <v>259</v>
      </c>
      <c r="CY46" s="74" t="s">
        <v>259</v>
      </c>
      <c r="CZ46" s="74" t="s">
        <v>259</v>
      </c>
      <c r="DA46" s="80"/>
      <c r="DB46" s="74" t="s">
        <v>306</v>
      </c>
      <c r="DC46" s="74" t="s">
        <v>259</v>
      </c>
      <c r="DD46" s="74" t="s">
        <v>259</v>
      </c>
      <c r="DE46" s="74" t="s">
        <v>259</v>
      </c>
      <c r="DF46" s="74" t="s">
        <v>259</v>
      </c>
      <c r="DG46" s="74" t="s">
        <v>306</v>
      </c>
      <c r="DH46" s="74"/>
      <c r="DI46" s="74" t="s">
        <v>306</v>
      </c>
      <c r="DJ46" s="74" t="s">
        <v>259</v>
      </c>
      <c r="DK46" s="74" t="s">
        <v>259</v>
      </c>
      <c r="DL46" s="74" t="s">
        <v>306</v>
      </c>
      <c r="DM46" s="74" t="s">
        <v>306</v>
      </c>
      <c r="DN46" s="74" t="s">
        <v>306</v>
      </c>
      <c r="DO46" s="74"/>
      <c r="DP46" s="74" t="s">
        <v>306</v>
      </c>
      <c r="DQ46" s="74" t="s">
        <v>259</v>
      </c>
      <c r="DR46" s="74" t="s">
        <v>306</v>
      </c>
      <c r="DS46" s="74" t="s">
        <v>259</v>
      </c>
      <c r="DT46" s="74" t="s">
        <v>306</v>
      </c>
      <c r="DU46" s="74"/>
      <c r="DV46" s="74" t="s">
        <v>259</v>
      </c>
      <c r="DW46" s="74" t="s">
        <v>259</v>
      </c>
      <c r="DX46" s="74" t="s">
        <v>306</v>
      </c>
      <c r="DY46" s="74" t="s">
        <v>306</v>
      </c>
      <c r="DZ46" s="74" t="s">
        <v>259</v>
      </c>
      <c r="EA46" s="74" t="s">
        <v>259</v>
      </c>
      <c r="EB46" s="74" t="s">
        <v>306</v>
      </c>
      <c r="EC46" s="74" t="s">
        <v>259</v>
      </c>
      <c r="ED46" s="74" t="s">
        <v>259</v>
      </c>
      <c r="EE46" s="74"/>
      <c r="EF46" s="74" t="s">
        <v>306</v>
      </c>
      <c r="EG46" s="74" t="s">
        <v>259</v>
      </c>
      <c r="EH46" s="74" t="s">
        <v>306</v>
      </c>
      <c r="EI46" s="74" t="s">
        <v>259</v>
      </c>
      <c r="EJ46" s="74" t="s">
        <v>306</v>
      </c>
      <c r="EK46" s="74"/>
      <c r="EL46" s="74" t="s">
        <v>259</v>
      </c>
      <c r="EM46" s="74" t="s">
        <v>259</v>
      </c>
      <c r="EN46" s="74" t="s">
        <v>306</v>
      </c>
      <c r="EO46" s="74" t="s">
        <v>259</v>
      </c>
      <c r="EP46" s="74" t="s">
        <v>259</v>
      </c>
      <c r="EQ46" s="74"/>
      <c r="ER46" s="74" t="s">
        <v>306</v>
      </c>
      <c r="ES46" s="74" t="s">
        <v>259</v>
      </c>
      <c r="ET46" s="74" t="s">
        <v>259</v>
      </c>
      <c r="EU46" s="74" t="s">
        <v>259</v>
      </c>
      <c r="EV46" s="74" t="s">
        <v>306</v>
      </c>
      <c r="EW46" s="74" t="s">
        <v>306</v>
      </c>
      <c r="EX46" s="74" t="s">
        <v>306</v>
      </c>
      <c r="EY46" s="74"/>
      <c r="EZ46" s="74" t="s">
        <v>306</v>
      </c>
      <c r="FA46" s="74" t="s">
        <v>259</v>
      </c>
      <c r="FB46" s="74" t="s">
        <v>259</v>
      </c>
      <c r="FC46" s="74" t="s">
        <v>306</v>
      </c>
      <c r="FD46" s="74" t="s">
        <v>306</v>
      </c>
      <c r="FE46" s="74" t="s">
        <v>306</v>
      </c>
      <c r="FF46" s="74"/>
      <c r="FG46" s="80" t="s">
        <v>259</v>
      </c>
      <c r="FH46" s="81" t="s">
        <v>232</v>
      </c>
      <c r="FI46" s="80" t="s">
        <v>259</v>
      </c>
      <c r="FJ46" s="80" t="s">
        <v>259</v>
      </c>
      <c r="FK46" s="80" t="s">
        <v>259</v>
      </c>
      <c r="FL46" s="74"/>
      <c r="FM46" s="74" t="s">
        <v>259</v>
      </c>
      <c r="FN46" s="74" t="s">
        <v>259</v>
      </c>
      <c r="FO46" s="74" t="s">
        <v>306</v>
      </c>
      <c r="FP46" s="74" t="s">
        <v>306</v>
      </c>
      <c r="FQ46" s="74" t="s">
        <v>259</v>
      </c>
      <c r="FR46" s="74"/>
      <c r="FS46" s="74" t="s">
        <v>306</v>
      </c>
      <c r="FT46" s="74" t="s">
        <v>259</v>
      </c>
      <c r="FU46" s="74" t="s">
        <v>306</v>
      </c>
      <c r="FV46" s="74" t="s">
        <v>259</v>
      </c>
      <c r="FW46" s="74" t="s">
        <v>306</v>
      </c>
      <c r="FX46" s="74" t="s">
        <v>306</v>
      </c>
      <c r="FY46" s="74"/>
      <c r="FZ46" s="74" t="s">
        <v>259</v>
      </c>
      <c r="GA46" s="74"/>
      <c r="GB46" s="74" t="s">
        <v>259</v>
      </c>
      <c r="GC46" s="74" t="s">
        <v>259</v>
      </c>
      <c r="GD46" s="74" t="s">
        <v>306</v>
      </c>
      <c r="GE46" s="74" t="s">
        <v>306</v>
      </c>
      <c r="GF46" s="74" t="s">
        <v>259</v>
      </c>
      <c r="GG46" s="74"/>
      <c r="GH46" s="80" t="s">
        <v>259</v>
      </c>
      <c r="GI46" s="81" t="s">
        <v>232</v>
      </c>
      <c r="GJ46" s="80" t="s">
        <v>259</v>
      </c>
      <c r="GK46" s="80" t="s">
        <v>259</v>
      </c>
      <c r="GL46" s="80" t="s">
        <v>259</v>
      </c>
      <c r="GM46" s="80"/>
      <c r="GN46" s="80" t="s">
        <v>353</v>
      </c>
      <c r="GO46" s="74" t="s">
        <v>259</v>
      </c>
      <c r="GP46" s="74" t="s">
        <v>259</v>
      </c>
      <c r="GQ46" s="80" t="s">
        <v>353</v>
      </c>
      <c r="GR46" s="80"/>
      <c r="GS46" s="74" t="s">
        <v>306</v>
      </c>
      <c r="GT46" s="74" t="s">
        <v>259</v>
      </c>
      <c r="GU46" s="74" t="s">
        <v>306</v>
      </c>
      <c r="GV46" s="74" t="s">
        <v>306</v>
      </c>
      <c r="GW46" s="74" t="s">
        <v>306</v>
      </c>
      <c r="GX46" s="74" t="s">
        <v>259</v>
      </c>
      <c r="GY46" s="74" t="s">
        <v>306</v>
      </c>
      <c r="GZ46" s="74" t="s">
        <v>306</v>
      </c>
      <c r="HA46" s="74" t="s">
        <v>306</v>
      </c>
      <c r="HB46" s="74" t="s">
        <v>306</v>
      </c>
      <c r="HC46" s="74" t="s">
        <v>259</v>
      </c>
      <c r="HD46" s="74" t="s">
        <v>306</v>
      </c>
      <c r="HE46" s="74"/>
      <c r="HF46" s="74" t="s">
        <v>306</v>
      </c>
      <c r="HG46" s="74" t="s">
        <v>259</v>
      </c>
      <c r="HH46" s="74" t="s">
        <v>259</v>
      </c>
      <c r="HI46" s="74" t="s">
        <v>306</v>
      </c>
      <c r="HJ46" s="74" t="s">
        <v>306</v>
      </c>
      <c r="HK46" s="74" t="s">
        <v>259</v>
      </c>
      <c r="HL46" s="74" t="s">
        <v>306</v>
      </c>
      <c r="HM46" s="74"/>
      <c r="HN46" s="74" t="s">
        <v>306</v>
      </c>
      <c r="HO46" s="74" t="s">
        <v>306</v>
      </c>
      <c r="HP46" s="74" t="s">
        <v>259</v>
      </c>
      <c r="HQ46" s="74" t="s">
        <v>259</v>
      </c>
      <c r="HR46" s="74" t="s">
        <v>306</v>
      </c>
      <c r="HS46" s="74" t="s">
        <v>306</v>
      </c>
      <c r="HT46" s="74"/>
      <c r="HU46" s="74" t="s">
        <v>306</v>
      </c>
      <c r="HV46" s="74" t="s">
        <v>259</v>
      </c>
      <c r="HW46" s="74" t="s">
        <v>306</v>
      </c>
      <c r="HX46" s="74" t="s">
        <v>306</v>
      </c>
      <c r="HY46" s="74" t="s">
        <v>306</v>
      </c>
      <c r="HZ46" s="74" t="s">
        <v>306</v>
      </c>
      <c r="IA46" s="74"/>
      <c r="IB46" s="80" t="s">
        <v>259</v>
      </c>
      <c r="IC46" s="81" t="s">
        <v>232</v>
      </c>
      <c r="ID46" s="81" t="s">
        <v>232</v>
      </c>
      <c r="IE46" s="81" t="s">
        <v>232</v>
      </c>
      <c r="IF46" s="80" t="s">
        <v>259</v>
      </c>
      <c r="IG46" s="80" t="s">
        <v>259</v>
      </c>
      <c r="IH46" s="80"/>
      <c r="II46" s="74" t="s">
        <v>259</v>
      </c>
      <c r="IJ46" s="74" t="s">
        <v>259</v>
      </c>
      <c r="IK46" s="74" t="s">
        <v>259</v>
      </c>
      <c r="IL46" s="74" t="s">
        <v>259</v>
      </c>
      <c r="IM46" s="74" t="s">
        <v>259</v>
      </c>
      <c r="IN46" s="80"/>
      <c r="IO46" s="80" t="s">
        <v>353</v>
      </c>
      <c r="IP46" s="75" t="s">
        <v>317</v>
      </c>
      <c r="IQ46" s="80" t="s">
        <v>353</v>
      </c>
      <c r="IR46" s="80" t="s">
        <v>353</v>
      </c>
      <c r="IS46" s="74" t="s">
        <v>306</v>
      </c>
      <c r="IT46" s="74" t="s">
        <v>259</v>
      </c>
      <c r="IU46" s="80" t="s">
        <v>353</v>
      </c>
      <c r="IV46" s="80"/>
      <c r="IW46" s="74" t="s">
        <v>306</v>
      </c>
      <c r="IX46" s="75" t="s">
        <v>317</v>
      </c>
      <c r="IY46" s="74" t="s">
        <v>259</v>
      </c>
      <c r="IZ46" s="74" t="s">
        <v>306</v>
      </c>
      <c r="JA46" s="74" t="s">
        <v>306</v>
      </c>
      <c r="JB46" s="80"/>
      <c r="JC46" s="80" t="s">
        <v>259</v>
      </c>
      <c r="JD46" s="81" t="s">
        <v>329</v>
      </c>
      <c r="JE46" s="80" t="s">
        <v>259</v>
      </c>
      <c r="JF46" s="81" t="s">
        <v>232</v>
      </c>
      <c r="JG46" s="81" t="s">
        <v>232</v>
      </c>
      <c r="JH46" s="81" t="s">
        <v>232</v>
      </c>
      <c r="JI46" s="81" t="s">
        <v>232</v>
      </c>
      <c r="JJ46" s="80" t="s">
        <v>259</v>
      </c>
      <c r="JK46" s="80" t="s">
        <v>259</v>
      </c>
      <c r="JL46" s="80"/>
      <c r="JM46" s="74" t="s">
        <v>306</v>
      </c>
      <c r="JN46" s="74" t="s">
        <v>259</v>
      </c>
      <c r="JO46" s="74" t="s">
        <v>306</v>
      </c>
      <c r="JP46" s="80"/>
      <c r="JQ46" s="74" t="s">
        <v>306</v>
      </c>
      <c r="JR46" s="74" t="s">
        <v>259</v>
      </c>
      <c r="JS46" s="74" t="s">
        <v>259</v>
      </c>
      <c r="JT46" s="74" t="s">
        <v>259</v>
      </c>
      <c r="JU46" s="74" t="s">
        <v>306</v>
      </c>
      <c r="JV46" s="74" t="s">
        <v>306</v>
      </c>
    </row>
    <row r="47" spans="1:282" ht="26.25" x14ac:dyDescent="0.15">
      <c r="A47" s="214" t="s">
        <v>79</v>
      </c>
      <c r="B47" s="6" t="s">
        <v>17</v>
      </c>
      <c r="C47" s="6">
        <v>95000</v>
      </c>
      <c r="D47" s="6">
        <v>2</v>
      </c>
      <c r="E47" s="6">
        <v>5</v>
      </c>
      <c r="F47" s="6">
        <v>3</v>
      </c>
      <c r="G47" s="6" t="s">
        <v>37</v>
      </c>
      <c r="H47" s="6" t="s">
        <v>53</v>
      </c>
      <c r="I47" s="6" t="s">
        <v>46</v>
      </c>
      <c r="J47" s="21" t="s">
        <v>80</v>
      </c>
      <c r="K47" s="21">
        <v>1</v>
      </c>
      <c r="L47" s="21">
        <v>2</v>
      </c>
      <c r="M47" s="21">
        <v>1</v>
      </c>
      <c r="N47" s="21">
        <v>0</v>
      </c>
      <c r="O47" s="21">
        <v>0</v>
      </c>
      <c r="P47" s="21" t="str">
        <f>IF(TeamT[[#This Row],[General]]+TeamT[[#This Row],[Agility]]+TeamT[[#This Row],[Strength]]+TeamT[[#This Row],[Passing]]+TeamT[[#This Row],[Mutation]]&gt;0,IF(TeamT[[#This Row],[General]]=1,"G","")&amp;IF(TeamT[[#This Row],[Agility]]=1,"A","")&amp;IF(TeamT[[#This Row],[Strength]]=1,"S","")&amp;IF(TeamT[[#This Row],[Passing]]=1,"P","")&amp;IF(TeamT[[#This Row],[Mutation]]=1,"M",""),"Star")</f>
        <v>GS</v>
      </c>
      <c r="Q47" s="21" t="str">
        <f>IF(TeamT[[#This Row],[General]]=2,"G","")&amp;IF(TeamT[[#This Row],[Agility]]=2,"A","")&amp;IF(TeamT[[#This Row],[Strength]]=2,"S","")&amp;IF(TeamT[[#This Row],[Passing]]=2,"P","")&amp;IF(TeamT[[#This Row],[Mutation]]=2,"M","")</f>
        <v>A</v>
      </c>
      <c r="R47" s="212"/>
      <c r="S47" s="21">
        <v>4</v>
      </c>
      <c r="T47" s="21" t="s">
        <v>53</v>
      </c>
      <c r="U47" s="21">
        <v>9</v>
      </c>
      <c r="AA47" s="76" t="e">
        <f>HLOOKUP(Roster!$E$5,Team!$BL$2:$MK$128,46,FALSE)</f>
        <v>#N/A</v>
      </c>
      <c r="AB47" s="76" t="e">
        <f>HLOOKUP(Roster!$E$6,Team!$BL$2:$MK$128,46,FALSE)</f>
        <v>#N/A</v>
      </c>
      <c r="AC47" s="76" t="e">
        <f>HLOOKUP(Roster!$E$7,Team!$BL$2:$MK$128,46,FALSE)</f>
        <v>#N/A</v>
      </c>
      <c r="AD47" s="76" t="e">
        <f>HLOOKUP(Roster!$E$8,Team!$BL$2:$MK$128,46,FALSE)</f>
        <v>#N/A</v>
      </c>
      <c r="AE47" s="76" t="e">
        <f>HLOOKUP(Roster!$E$9,Team!$BL$2:$MK$128,46,FALSE)</f>
        <v>#N/A</v>
      </c>
      <c r="AF47" s="76" t="e">
        <f>HLOOKUP(Roster!$E$10,Team!$BL$2:$MK$128,46,FALSE)</f>
        <v>#N/A</v>
      </c>
      <c r="AG47" s="76" t="e">
        <f>HLOOKUP(Roster!$E$11,Team!$BL$2:$MK$128,46,FALSE)</f>
        <v>#N/A</v>
      </c>
      <c r="AH47" s="76" t="e">
        <f>HLOOKUP(Roster!$E$12,Team!$BL$2:$MK$128,46,FALSE)</f>
        <v>#N/A</v>
      </c>
      <c r="AI47" s="76" t="e">
        <f>HLOOKUP(Roster!$E$13,Team!$BL$2:$MK$128,46,FALSE)</f>
        <v>#N/A</v>
      </c>
      <c r="AJ47" s="76" t="e">
        <f>HLOOKUP(Roster!$E$14,Team!$BL$2:$MK$128,46,FALSE)</f>
        <v>#N/A</v>
      </c>
      <c r="AK47" s="76" t="e">
        <f>HLOOKUP(Roster!$E$15,Team!$BL$2:$MK$128,46,FALSE)</f>
        <v>#N/A</v>
      </c>
      <c r="AL47" s="76" t="e">
        <f>HLOOKUP(Roster!$E$16,Team!$BL$2:$MK$128,46,FALSE)</f>
        <v>#N/A</v>
      </c>
      <c r="AM47" s="76" t="e">
        <f>HLOOKUP(Roster!$E$17,Team!$BL$2:$MK$128,46,FALSE)</f>
        <v>#N/A</v>
      </c>
      <c r="AN47" s="76" t="e">
        <f>HLOOKUP(Roster!$E$18,Team!$BL$2:$MK$128,46,FALSE)</f>
        <v>#N/A</v>
      </c>
      <c r="AO47" s="76" t="e">
        <f>HLOOKUP(Roster!$E$19,Team!$BL$2:$MK$128,46,FALSE)</f>
        <v>#N/A</v>
      </c>
      <c r="AP47" s="76" t="e">
        <f>HLOOKUP(Roster!$E$20,Team!$BL$2:$MK$128,46,FALSE)</f>
        <v>#N/A</v>
      </c>
      <c r="AR47" s="108">
        <f t="shared" si="1"/>
        <v>0</v>
      </c>
      <c r="AS47" s="108">
        <f t="shared" si="2"/>
        <v>0</v>
      </c>
      <c r="AT47" s="108">
        <f t="shared" si="3"/>
        <v>0</v>
      </c>
      <c r="AU47" s="108">
        <f t="shared" si="4"/>
        <v>0</v>
      </c>
      <c r="AV47" s="108">
        <f t="shared" si="5"/>
        <v>0</v>
      </c>
      <c r="AW47" s="108">
        <f t="shared" si="6"/>
        <v>0</v>
      </c>
      <c r="AX47" s="108">
        <f t="shared" si="7"/>
        <v>0</v>
      </c>
      <c r="AY47" s="108">
        <f t="shared" si="8"/>
        <v>0</v>
      </c>
      <c r="AZ47" s="108">
        <f t="shared" si="9"/>
        <v>0</v>
      </c>
      <c r="BA47" s="108">
        <f t="shared" si="10"/>
        <v>0</v>
      </c>
      <c r="BB47" s="108">
        <f t="shared" si="11"/>
        <v>0</v>
      </c>
      <c r="BC47" s="108">
        <f t="shared" si="12"/>
        <v>0</v>
      </c>
      <c r="BD47" s="108">
        <f t="shared" si="13"/>
        <v>0</v>
      </c>
      <c r="BE47" s="108">
        <f t="shared" si="14"/>
        <v>0</v>
      </c>
      <c r="BF47" s="108">
        <f t="shared" si="15"/>
        <v>0</v>
      </c>
      <c r="BG47" s="108">
        <f t="shared" si="16"/>
        <v>0</v>
      </c>
      <c r="BL47" s="75" t="s">
        <v>307</v>
      </c>
      <c r="BM47" s="75" t="s">
        <v>225</v>
      </c>
      <c r="BN47" s="75" t="s">
        <v>307</v>
      </c>
      <c r="BO47" s="75" t="s">
        <v>307</v>
      </c>
      <c r="BP47" s="75" t="s">
        <v>307</v>
      </c>
      <c r="BQ47" s="75"/>
      <c r="BR47" s="75" t="s">
        <v>225</v>
      </c>
      <c r="BS47" s="75" t="s">
        <v>225</v>
      </c>
      <c r="BT47" s="75" t="s">
        <v>225</v>
      </c>
      <c r="BU47" s="75" t="s">
        <v>225</v>
      </c>
      <c r="BV47" s="75"/>
      <c r="BW47" s="81" t="s">
        <v>262</v>
      </c>
      <c r="BX47" s="81" t="s">
        <v>225</v>
      </c>
      <c r="BY47" s="81" t="s">
        <v>225</v>
      </c>
      <c r="BZ47" s="81" t="s">
        <v>225</v>
      </c>
      <c r="CA47" s="81" t="s">
        <v>225</v>
      </c>
      <c r="CB47" s="81" t="s">
        <v>262</v>
      </c>
      <c r="CC47" s="77"/>
      <c r="CD47" s="75" t="s">
        <v>307</v>
      </c>
      <c r="CE47" s="81" t="s">
        <v>225</v>
      </c>
      <c r="CF47" s="75" t="s">
        <v>307</v>
      </c>
      <c r="CG47" s="81" t="s">
        <v>225</v>
      </c>
      <c r="CH47" s="75" t="s">
        <v>307</v>
      </c>
      <c r="CI47" s="77"/>
      <c r="CJ47" s="81" t="s">
        <v>225</v>
      </c>
      <c r="CK47" s="81" t="s">
        <v>262</v>
      </c>
      <c r="CL47" s="81" t="s">
        <v>225</v>
      </c>
      <c r="CM47" s="81" t="s">
        <v>225</v>
      </c>
      <c r="CN47" s="81" t="s">
        <v>225</v>
      </c>
      <c r="CO47" s="81" t="s">
        <v>262</v>
      </c>
      <c r="CP47" s="81" t="s">
        <v>225</v>
      </c>
      <c r="CQ47" s="81" t="s">
        <v>225</v>
      </c>
      <c r="CR47" s="81" t="s">
        <v>225</v>
      </c>
      <c r="CS47" s="81" t="s">
        <v>225</v>
      </c>
      <c r="CT47" s="81" t="s">
        <v>225</v>
      </c>
      <c r="CU47" s="81"/>
      <c r="CV47" s="75" t="s">
        <v>225</v>
      </c>
      <c r="CW47" s="75" t="s">
        <v>225</v>
      </c>
      <c r="CX47" s="75" t="s">
        <v>225</v>
      </c>
      <c r="CY47" s="75" t="s">
        <v>225</v>
      </c>
      <c r="CZ47" s="75" t="s">
        <v>225</v>
      </c>
      <c r="DA47" s="81"/>
      <c r="DB47" s="75" t="s">
        <v>307</v>
      </c>
      <c r="DC47" s="75" t="s">
        <v>225</v>
      </c>
      <c r="DD47" s="75" t="s">
        <v>225</v>
      </c>
      <c r="DE47" s="75" t="s">
        <v>225</v>
      </c>
      <c r="DF47" s="75" t="s">
        <v>225</v>
      </c>
      <c r="DG47" s="75" t="s">
        <v>307</v>
      </c>
      <c r="DH47" s="75"/>
      <c r="DI47" s="75" t="s">
        <v>307</v>
      </c>
      <c r="DJ47" s="75" t="s">
        <v>225</v>
      </c>
      <c r="DK47" s="75" t="s">
        <v>225</v>
      </c>
      <c r="DL47" s="75" t="s">
        <v>307</v>
      </c>
      <c r="DM47" s="75" t="s">
        <v>307</v>
      </c>
      <c r="DN47" s="75" t="s">
        <v>307</v>
      </c>
      <c r="DO47" s="75"/>
      <c r="DP47" s="75" t="s">
        <v>307</v>
      </c>
      <c r="DQ47" s="75" t="s">
        <v>225</v>
      </c>
      <c r="DR47" s="75" t="s">
        <v>307</v>
      </c>
      <c r="DS47" s="75" t="s">
        <v>225</v>
      </c>
      <c r="DT47" s="75" t="s">
        <v>307</v>
      </c>
      <c r="DU47" s="75"/>
      <c r="DV47" s="75" t="s">
        <v>225</v>
      </c>
      <c r="DW47" s="75" t="s">
        <v>225</v>
      </c>
      <c r="DX47" s="75" t="s">
        <v>307</v>
      </c>
      <c r="DY47" s="75" t="s">
        <v>307</v>
      </c>
      <c r="DZ47" s="75" t="s">
        <v>225</v>
      </c>
      <c r="EA47" s="75" t="s">
        <v>225</v>
      </c>
      <c r="EB47" s="75" t="s">
        <v>307</v>
      </c>
      <c r="EC47" s="75" t="s">
        <v>225</v>
      </c>
      <c r="ED47" s="75" t="s">
        <v>225</v>
      </c>
      <c r="EE47" s="75"/>
      <c r="EF47" s="75" t="s">
        <v>307</v>
      </c>
      <c r="EG47" s="75" t="s">
        <v>225</v>
      </c>
      <c r="EH47" s="75" t="s">
        <v>307</v>
      </c>
      <c r="EI47" s="75" t="s">
        <v>225</v>
      </c>
      <c r="EJ47" s="75" t="s">
        <v>307</v>
      </c>
      <c r="EK47" s="75"/>
      <c r="EL47" s="75" t="s">
        <v>225</v>
      </c>
      <c r="EM47" s="75" t="s">
        <v>225</v>
      </c>
      <c r="EN47" s="75" t="s">
        <v>307</v>
      </c>
      <c r="EO47" s="75" t="s">
        <v>225</v>
      </c>
      <c r="EP47" s="75" t="s">
        <v>225</v>
      </c>
      <c r="EQ47" s="75"/>
      <c r="ER47" s="75" t="s">
        <v>307</v>
      </c>
      <c r="ES47" s="75" t="s">
        <v>225</v>
      </c>
      <c r="ET47" s="75" t="s">
        <v>225</v>
      </c>
      <c r="EU47" s="75" t="s">
        <v>225</v>
      </c>
      <c r="EV47" s="75" t="s">
        <v>307</v>
      </c>
      <c r="EW47" s="75" t="s">
        <v>307</v>
      </c>
      <c r="EX47" s="75" t="s">
        <v>307</v>
      </c>
      <c r="EY47" s="75"/>
      <c r="EZ47" s="75" t="s">
        <v>307</v>
      </c>
      <c r="FA47" s="75" t="s">
        <v>225</v>
      </c>
      <c r="FB47" s="75" t="s">
        <v>225</v>
      </c>
      <c r="FC47" s="75" t="s">
        <v>307</v>
      </c>
      <c r="FD47" s="75" t="s">
        <v>307</v>
      </c>
      <c r="FE47" s="75" t="s">
        <v>307</v>
      </c>
      <c r="FF47" s="75"/>
      <c r="FG47" s="81" t="s">
        <v>225</v>
      </c>
      <c r="FH47" s="81" t="s">
        <v>262</v>
      </c>
      <c r="FI47" s="81" t="s">
        <v>225</v>
      </c>
      <c r="FJ47" s="81" t="s">
        <v>225</v>
      </c>
      <c r="FK47" s="81" t="s">
        <v>225</v>
      </c>
      <c r="FL47" s="75"/>
      <c r="FM47" s="75" t="s">
        <v>225</v>
      </c>
      <c r="FN47" s="75" t="s">
        <v>225</v>
      </c>
      <c r="FO47" s="75" t="s">
        <v>307</v>
      </c>
      <c r="FP47" s="75" t="s">
        <v>307</v>
      </c>
      <c r="FQ47" s="75" t="s">
        <v>225</v>
      </c>
      <c r="FR47" s="75"/>
      <c r="FS47" s="75" t="s">
        <v>307</v>
      </c>
      <c r="FT47" s="75" t="s">
        <v>225</v>
      </c>
      <c r="FU47" s="75" t="s">
        <v>307</v>
      </c>
      <c r="FV47" s="75" t="s">
        <v>225</v>
      </c>
      <c r="FW47" s="75" t="s">
        <v>307</v>
      </c>
      <c r="FX47" s="75" t="s">
        <v>307</v>
      </c>
      <c r="FY47" s="75"/>
      <c r="FZ47" s="75" t="s">
        <v>225</v>
      </c>
      <c r="GA47" s="75"/>
      <c r="GB47" s="75" t="s">
        <v>225</v>
      </c>
      <c r="GC47" s="75" t="s">
        <v>225</v>
      </c>
      <c r="GD47" s="75" t="s">
        <v>307</v>
      </c>
      <c r="GE47" s="75" t="s">
        <v>307</v>
      </c>
      <c r="GF47" s="75" t="s">
        <v>225</v>
      </c>
      <c r="GG47" s="75"/>
      <c r="GH47" s="81" t="s">
        <v>225</v>
      </c>
      <c r="GI47" s="81" t="s">
        <v>262</v>
      </c>
      <c r="GJ47" s="81" t="s">
        <v>225</v>
      </c>
      <c r="GK47" s="81" t="s">
        <v>225</v>
      </c>
      <c r="GL47" s="81" t="s">
        <v>225</v>
      </c>
      <c r="GM47" s="81"/>
      <c r="GN47" s="81" t="s">
        <v>354</v>
      </c>
      <c r="GO47" s="75" t="s">
        <v>225</v>
      </c>
      <c r="GP47" s="75" t="s">
        <v>225</v>
      </c>
      <c r="GQ47" s="81" t="s">
        <v>354</v>
      </c>
      <c r="GR47" s="81"/>
      <c r="GS47" s="75" t="s">
        <v>307</v>
      </c>
      <c r="GT47" s="75" t="s">
        <v>225</v>
      </c>
      <c r="GU47" s="75" t="s">
        <v>307</v>
      </c>
      <c r="GV47" s="75" t="s">
        <v>307</v>
      </c>
      <c r="GW47" s="75" t="s">
        <v>307</v>
      </c>
      <c r="GX47" s="75" t="s">
        <v>225</v>
      </c>
      <c r="GY47" s="75" t="s">
        <v>307</v>
      </c>
      <c r="GZ47" s="75" t="s">
        <v>307</v>
      </c>
      <c r="HA47" s="75" t="s">
        <v>307</v>
      </c>
      <c r="HB47" s="75" t="s">
        <v>307</v>
      </c>
      <c r="HC47" s="75" t="s">
        <v>225</v>
      </c>
      <c r="HD47" s="75" t="s">
        <v>307</v>
      </c>
      <c r="HE47" s="75"/>
      <c r="HF47" s="75" t="s">
        <v>307</v>
      </c>
      <c r="HG47" s="75" t="s">
        <v>225</v>
      </c>
      <c r="HH47" s="75" t="s">
        <v>225</v>
      </c>
      <c r="HI47" s="75" t="s">
        <v>307</v>
      </c>
      <c r="HJ47" s="75" t="s">
        <v>307</v>
      </c>
      <c r="HK47" s="75" t="s">
        <v>225</v>
      </c>
      <c r="HL47" s="75" t="s">
        <v>307</v>
      </c>
      <c r="HM47" s="75"/>
      <c r="HN47" s="75" t="s">
        <v>307</v>
      </c>
      <c r="HO47" s="75" t="s">
        <v>307</v>
      </c>
      <c r="HP47" s="75" t="s">
        <v>225</v>
      </c>
      <c r="HQ47" s="75" t="s">
        <v>225</v>
      </c>
      <c r="HR47" s="75" t="s">
        <v>307</v>
      </c>
      <c r="HS47" s="75" t="s">
        <v>307</v>
      </c>
      <c r="HT47" s="75"/>
      <c r="HU47" s="75" t="s">
        <v>307</v>
      </c>
      <c r="HV47" s="75" t="s">
        <v>225</v>
      </c>
      <c r="HW47" s="75" t="s">
        <v>307</v>
      </c>
      <c r="HX47" s="75" t="s">
        <v>307</v>
      </c>
      <c r="HY47" s="75" t="s">
        <v>307</v>
      </c>
      <c r="HZ47" s="75" t="s">
        <v>307</v>
      </c>
      <c r="IA47" s="75"/>
      <c r="IB47" s="81" t="s">
        <v>225</v>
      </c>
      <c r="IC47" s="81" t="s">
        <v>262</v>
      </c>
      <c r="ID47" s="81" t="s">
        <v>262</v>
      </c>
      <c r="IE47" s="81" t="s">
        <v>262</v>
      </c>
      <c r="IF47" s="81" t="s">
        <v>225</v>
      </c>
      <c r="IG47" s="81" t="s">
        <v>225</v>
      </c>
      <c r="IH47" s="81"/>
      <c r="II47" s="75" t="s">
        <v>225</v>
      </c>
      <c r="IJ47" s="75" t="s">
        <v>225</v>
      </c>
      <c r="IK47" s="75" t="s">
        <v>225</v>
      </c>
      <c r="IL47" s="75" t="s">
        <v>225</v>
      </c>
      <c r="IM47" s="75" t="s">
        <v>225</v>
      </c>
      <c r="IN47" s="81"/>
      <c r="IO47" s="81" t="s">
        <v>354</v>
      </c>
      <c r="IP47" s="75" t="s">
        <v>318</v>
      </c>
      <c r="IQ47" s="81" t="s">
        <v>354</v>
      </c>
      <c r="IR47" s="81" t="s">
        <v>354</v>
      </c>
      <c r="IS47" s="75" t="s">
        <v>307</v>
      </c>
      <c r="IT47" s="75" t="s">
        <v>225</v>
      </c>
      <c r="IU47" s="81" t="s">
        <v>354</v>
      </c>
      <c r="IV47" s="81"/>
      <c r="IW47" s="75" t="s">
        <v>307</v>
      </c>
      <c r="IX47" s="75" t="s">
        <v>318</v>
      </c>
      <c r="IY47" s="75" t="s">
        <v>225</v>
      </c>
      <c r="IZ47" s="75" t="s">
        <v>307</v>
      </c>
      <c r="JA47" s="75" t="s">
        <v>307</v>
      </c>
      <c r="JB47" s="81"/>
      <c r="JC47" s="81" t="s">
        <v>225</v>
      </c>
      <c r="JD47" s="81" t="s">
        <v>330</v>
      </c>
      <c r="JE47" s="81" t="s">
        <v>225</v>
      </c>
      <c r="JF47" s="81" t="s">
        <v>262</v>
      </c>
      <c r="JG47" s="81" t="s">
        <v>262</v>
      </c>
      <c r="JH47" s="81" t="s">
        <v>262</v>
      </c>
      <c r="JI47" s="81" t="s">
        <v>262</v>
      </c>
      <c r="JJ47" s="81" t="s">
        <v>225</v>
      </c>
      <c r="JK47" s="81" t="s">
        <v>225</v>
      </c>
      <c r="JL47" s="81"/>
      <c r="JM47" s="75" t="s">
        <v>307</v>
      </c>
      <c r="JN47" s="75" t="s">
        <v>225</v>
      </c>
      <c r="JO47" s="75" t="s">
        <v>307</v>
      </c>
      <c r="JP47" s="81"/>
      <c r="JQ47" s="75" t="s">
        <v>307</v>
      </c>
      <c r="JR47" s="75" t="s">
        <v>225</v>
      </c>
      <c r="JS47" s="75" t="s">
        <v>225</v>
      </c>
      <c r="JT47" s="75" t="s">
        <v>225</v>
      </c>
      <c r="JU47" s="75" t="s">
        <v>307</v>
      </c>
      <c r="JV47" s="75" t="s">
        <v>307</v>
      </c>
    </row>
    <row r="48" spans="1:282" x14ac:dyDescent="0.15">
      <c r="A48" s="214" t="s">
        <v>81</v>
      </c>
      <c r="B48" s="6" t="s">
        <v>17</v>
      </c>
      <c r="C48" s="6">
        <v>170000</v>
      </c>
      <c r="D48" s="6">
        <v>1</v>
      </c>
      <c r="E48" s="6">
        <v>4</v>
      </c>
      <c r="F48" s="6">
        <v>7</v>
      </c>
      <c r="G48" s="6" t="s">
        <v>40</v>
      </c>
      <c r="H48" s="6" t="s">
        <v>53</v>
      </c>
      <c r="I48" s="6" t="s">
        <v>82</v>
      </c>
      <c r="J48" s="21" t="s">
        <v>83</v>
      </c>
      <c r="K48" s="21">
        <v>2</v>
      </c>
      <c r="L48" s="21">
        <v>2</v>
      </c>
      <c r="M48" s="21">
        <v>1</v>
      </c>
      <c r="N48" s="21">
        <v>0</v>
      </c>
      <c r="O48" s="21">
        <v>0</v>
      </c>
      <c r="P48" s="21" t="str">
        <f>IF(TeamT[[#This Row],[General]]+TeamT[[#This Row],[Agility]]+TeamT[[#This Row],[Strength]]+TeamT[[#This Row],[Passing]]+TeamT[[#This Row],[Mutation]]&gt;0,IF(TeamT[[#This Row],[General]]=1,"G","")&amp;IF(TeamT[[#This Row],[Agility]]=1,"A","")&amp;IF(TeamT[[#This Row],[Strength]]=1,"S","")&amp;IF(TeamT[[#This Row],[Passing]]=1,"P","")&amp;IF(TeamT[[#This Row],[Mutation]]=1,"M",""),"Star")</f>
        <v>S</v>
      </c>
      <c r="Q48" s="21" t="str">
        <f>IF(TeamT[[#This Row],[General]]=2,"G","")&amp;IF(TeamT[[#This Row],[Agility]]=2,"A","")&amp;IF(TeamT[[#This Row],[Strength]]=2,"S","")&amp;IF(TeamT[[#This Row],[Passing]]=2,"P","")&amp;IF(TeamT[[#This Row],[Mutation]]=2,"M","")</f>
        <v>GA</v>
      </c>
      <c r="R48" s="212"/>
      <c r="S48" s="21">
        <v>5</v>
      </c>
      <c r="T48" s="21" t="s">
        <v>53</v>
      </c>
      <c r="U48" s="21">
        <v>11</v>
      </c>
      <c r="AA48" s="76" t="e">
        <f>HLOOKUP(Roster!$E$5,Team!$BL$2:$MK$128,47,FALSE)</f>
        <v>#N/A</v>
      </c>
      <c r="AB48" s="76" t="e">
        <f>HLOOKUP(Roster!$E$6,Team!$BL$2:$MK$128,47,FALSE)</f>
        <v>#N/A</v>
      </c>
      <c r="AC48" s="76" t="e">
        <f>HLOOKUP(Roster!$E$7,Team!$BL$2:$MK$128,47,FALSE)</f>
        <v>#N/A</v>
      </c>
      <c r="AD48" s="76" t="e">
        <f>HLOOKUP(Roster!$E$8,Team!$BL$2:$MK$128,47,FALSE)</f>
        <v>#N/A</v>
      </c>
      <c r="AE48" s="76" t="e">
        <f>HLOOKUP(Roster!$E$9,Team!$BL$2:$MK$128,47,FALSE)</f>
        <v>#N/A</v>
      </c>
      <c r="AF48" s="76" t="e">
        <f>HLOOKUP(Roster!$E$10,Team!$BL$2:$MK$128,47,FALSE)</f>
        <v>#N/A</v>
      </c>
      <c r="AG48" s="76" t="e">
        <f>HLOOKUP(Roster!$E$11,Team!$BL$2:$MK$128,47,FALSE)</f>
        <v>#N/A</v>
      </c>
      <c r="AH48" s="76" t="e">
        <f>HLOOKUP(Roster!$E$12,Team!$BL$2:$MK$128,47,FALSE)</f>
        <v>#N/A</v>
      </c>
      <c r="AI48" s="76" t="e">
        <f>HLOOKUP(Roster!$E$13,Team!$BL$2:$MK$128,47,FALSE)</f>
        <v>#N/A</v>
      </c>
      <c r="AJ48" s="76" t="e">
        <f>HLOOKUP(Roster!$E$14,Team!$BL$2:$MK$128,47,FALSE)</f>
        <v>#N/A</v>
      </c>
      <c r="AK48" s="76" t="e">
        <f>HLOOKUP(Roster!$E$15,Team!$BL$2:$MK$128,47,FALSE)</f>
        <v>#N/A</v>
      </c>
      <c r="AL48" s="76" t="e">
        <f>HLOOKUP(Roster!$E$16,Team!$BL$2:$MK$128,47,FALSE)</f>
        <v>#N/A</v>
      </c>
      <c r="AM48" s="76" t="e">
        <f>HLOOKUP(Roster!$E$17,Team!$BL$2:$MK$128,47,FALSE)</f>
        <v>#N/A</v>
      </c>
      <c r="AN48" s="76" t="e">
        <f>HLOOKUP(Roster!$E$18,Team!$BL$2:$MK$128,47,FALSE)</f>
        <v>#N/A</v>
      </c>
      <c r="AO48" s="76" t="e">
        <f>HLOOKUP(Roster!$E$19,Team!$BL$2:$MK$128,47,FALSE)</f>
        <v>#N/A</v>
      </c>
      <c r="AP48" s="76" t="e">
        <f>HLOOKUP(Roster!$E$20,Team!$BL$2:$MK$128,47,FALSE)</f>
        <v>#N/A</v>
      </c>
      <c r="AR48" s="108">
        <f t="shared" si="1"/>
        <v>0</v>
      </c>
      <c r="AS48" s="108">
        <f t="shared" si="2"/>
        <v>0</v>
      </c>
      <c r="AT48" s="108">
        <f t="shared" si="3"/>
        <v>0</v>
      </c>
      <c r="AU48" s="108">
        <f t="shared" si="4"/>
        <v>0</v>
      </c>
      <c r="AV48" s="108">
        <f t="shared" si="5"/>
        <v>0</v>
      </c>
      <c r="AW48" s="108">
        <f t="shared" si="6"/>
        <v>0</v>
      </c>
      <c r="AX48" s="108">
        <f t="shared" si="7"/>
        <v>0</v>
      </c>
      <c r="AY48" s="108">
        <f t="shared" si="8"/>
        <v>0</v>
      </c>
      <c r="AZ48" s="108">
        <f t="shared" si="9"/>
        <v>0</v>
      </c>
      <c r="BA48" s="108">
        <f t="shared" si="10"/>
        <v>0</v>
      </c>
      <c r="BB48" s="108">
        <f t="shared" si="11"/>
        <v>0</v>
      </c>
      <c r="BC48" s="108">
        <f t="shared" si="12"/>
        <v>0</v>
      </c>
      <c r="BD48" s="108">
        <f t="shared" si="13"/>
        <v>0</v>
      </c>
      <c r="BE48" s="108">
        <f t="shared" si="14"/>
        <v>0</v>
      </c>
      <c r="BF48" s="108">
        <f t="shared" si="15"/>
        <v>0</v>
      </c>
      <c r="BG48" s="108">
        <f t="shared" si="16"/>
        <v>0</v>
      </c>
      <c r="BL48" s="75" t="s">
        <v>308</v>
      </c>
      <c r="BM48" s="75" t="s">
        <v>226</v>
      </c>
      <c r="BN48" s="75" t="s">
        <v>308</v>
      </c>
      <c r="BO48" s="75" t="s">
        <v>308</v>
      </c>
      <c r="BP48" s="75" t="s">
        <v>308</v>
      </c>
      <c r="BQ48" s="75"/>
      <c r="BR48" s="75" t="s">
        <v>226</v>
      </c>
      <c r="BS48" s="75" t="s">
        <v>226</v>
      </c>
      <c r="BT48" s="75" t="s">
        <v>226</v>
      </c>
      <c r="BU48" s="75" t="s">
        <v>226</v>
      </c>
      <c r="BV48" s="75"/>
      <c r="BW48" s="81" t="s">
        <v>117</v>
      </c>
      <c r="BX48" s="81" t="s">
        <v>226</v>
      </c>
      <c r="BY48" s="81" t="s">
        <v>226</v>
      </c>
      <c r="BZ48" s="81" t="s">
        <v>226</v>
      </c>
      <c r="CA48" s="81" t="s">
        <v>226</v>
      </c>
      <c r="CB48" s="81" t="s">
        <v>117</v>
      </c>
      <c r="CC48" s="77"/>
      <c r="CD48" s="75" t="s">
        <v>308</v>
      </c>
      <c r="CE48" s="81" t="s">
        <v>226</v>
      </c>
      <c r="CF48" s="75" t="s">
        <v>308</v>
      </c>
      <c r="CG48" s="81" t="s">
        <v>226</v>
      </c>
      <c r="CH48" s="75" t="s">
        <v>308</v>
      </c>
      <c r="CI48" s="77"/>
      <c r="CJ48" s="81" t="s">
        <v>226</v>
      </c>
      <c r="CK48" s="81" t="s">
        <v>117</v>
      </c>
      <c r="CL48" s="81" t="s">
        <v>226</v>
      </c>
      <c r="CM48" s="81" t="s">
        <v>226</v>
      </c>
      <c r="CN48" s="81" t="s">
        <v>226</v>
      </c>
      <c r="CO48" s="81" t="s">
        <v>117</v>
      </c>
      <c r="CP48" s="81" t="s">
        <v>226</v>
      </c>
      <c r="CQ48" s="81" t="s">
        <v>226</v>
      </c>
      <c r="CR48" s="81" t="s">
        <v>226</v>
      </c>
      <c r="CS48" s="81" t="s">
        <v>226</v>
      </c>
      <c r="CT48" s="81" t="s">
        <v>226</v>
      </c>
      <c r="CU48" s="81"/>
      <c r="CV48" s="75" t="s">
        <v>226</v>
      </c>
      <c r="CW48" s="75" t="s">
        <v>226</v>
      </c>
      <c r="CX48" s="75" t="s">
        <v>226</v>
      </c>
      <c r="CY48" s="75" t="s">
        <v>226</v>
      </c>
      <c r="CZ48" s="75" t="s">
        <v>226</v>
      </c>
      <c r="DA48" s="81"/>
      <c r="DB48" s="75" t="s">
        <v>308</v>
      </c>
      <c r="DC48" s="75" t="s">
        <v>226</v>
      </c>
      <c r="DD48" s="75" t="s">
        <v>226</v>
      </c>
      <c r="DE48" s="75" t="s">
        <v>226</v>
      </c>
      <c r="DF48" s="75" t="s">
        <v>226</v>
      </c>
      <c r="DG48" s="75" t="s">
        <v>308</v>
      </c>
      <c r="DH48" s="75"/>
      <c r="DI48" s="75" t="s">
        <v>308</v>
      </c>
      <c r="DJ48" s="75" t="s">
        <v>226</v>
      </c>
      <c r="DK48" s="75" t="s">
        <v>226</v>
      </c>
      <c r="DL48" s="75" t="s">
        <v>308</v>
      </c>
      <c r="DM48" s="75" t="s">
        <v>308</v>
      </c>
      <c r="DN48" s="75" t="s">
        <v>308</v>
      </c>
      <c r="DO48" s="75"/>
      <c r="DP48" s="75" t="s">
        <v>308</v>
      </c>
      <c r="DQ48" s="75" t="s">
        <v>226</v>
      </c>
      <c r="DR48" s="75" t="s">
        <v>308</v>
      </c>
      <c r="DS48" s="75" t="s">
        <v>226</v>
      </c>
      <c r="DT48" s="75" t="s">
        <v>308</v>
      </c>
      <c r="DU48" s="75"/>
      <c r="DV48" s="75" t="s">
        <v>226</v>
      </c>
      <c r="DW48" s="75" t="s">
        <v>226</v>
      </c>
      <c r="DX48" s="75" t="s">
        <v>308</v>
      </c>
      <c r="DY48" s="75" t="s">
        <v>308</v>
      </c>
      <c r="DZ48" s="75" t="s">
        <v>226</v>
      </c>
      <c r="EA48" s="75" t="s">
        <v>226</v>
      </c>
      <c r="EB48" s="75" t="s">
        <v>308</v>
      </c>
      <c r="EC48" s="75" t="s">
        <v>226</v>
      </c>
      <c r="ED48" s="75" t="s">
        <v>226</v>
      </c>
      <c r="EE48" s="75"/>
      <c r="EF48" s="75" t="s">
        <v>308</v>
      </c>
      <c r="EG48" s="75" t="s">
        <v>226</v>
      </c>
      <c r="EH48" s="75" t="s">
        <v>308</v>
      </c>
      <c r="EI48" s="75" t="s">
        <v>226</v>
      </c>
      <c r="EJ48" s="75" t="s">
        <v>308</v>
      </c>
      <c r="EK48" s="75"/>
      <c r="EL48" s="75" t="s">
        <v>226</v>
      </c>
      <c r="EM48" s="75" t="s">
        <v>226</v>
      </c>
      <c r="EN48" s="75" t="s">
        <v>308</v>
      </c>
      <c r="EO48" s="75" t="s">
        <v>226</v>
      </c>
      <c r="EP48" s="75" t="s">
        <v>226</v>
      </c>
      <c r="EQ48" s="75"/>
      <c r="ER48" s="75" t="s">
        <v>308</v>
      </c>
      <c r="ES48" s="75" t="s">
        <v>226</v>
      </c>
      <c r="ET48" s="75" t="s">
        <v>226</v>
      </c>
      <c r="EU48" s="75" t="s">
        <v>226</v>
      </c>
      <c r="EV48" s="75" t="s">
        <v>308</v>
      </c>
      <c r="EW48" s="75" t="s">
        <v>308</v>
      </c>
      <c r="EX48" s="75" t="s">
        <v>308</v>
      </c>
      <c r="EY48" s="75"/>
      <c r="EZ48" s="75" t="s">
        <v>308</v>
      </c>
      <c r="FA48" s="75" t="s">
        <v>226</v>
      </c>
      <c r="FB48" s="75" t="s">
        <v>226</v>
      </c>
      <c r="FC48" s="75" t="s">
        <v>308</v>
      </c>
      <c r="FD48" s="75" t="s">
        <v>308</v>
      </c>
      <c r="FE48" s="75" t="s">
        <v>308</v>
      </c>
      <c r="FF48" s="75"/>
      <c r="FG48" s="81" t="s">
        <v>226</v>
      </c>
      <c r="FH48" s="81" t="s">
        <v>117</v>
      </c>
      <c r="FI48" s="81" t="s">
        <v>226</v>
      </c>
      <c r="FJ48" s="81" t="s">
        <v>226</v>
      </c>
      <c r="FK48" s="81" t="s">
        <v>226</v>
      </c>
      <c r="FL48" s="75"/>
      <c r="FM48" s="75" t="s">
        <v>226</v>
      </c>
      <c r="FN48" s="75" t="s">
        <v>226</v>
      </c>
      <c r="FO48" s="75" t="s">
        <v>308</v>
      </c>
      <c r="FP48" s="75" t="s">
        <v>308</v>
      </c>
      <c r="FQ48" s="75" t="s">
        <v>226</v>
      </c>
      <c r="FR48" s="75"/>
      <c r="FS48" s="75" t="s">
        <v>308</v>
      </c>
      <c r="FT48" s="75" t="s">
        <v>226</v>
      </c>
      <c r="FU48" s="75" t="s">
        <v>308</v>
      </c>
      <c r="FV48" s="75" t="s">
        <v>226</v>
      </c>
      <c r="FW48" s="75" t="s">
        <v>308</v>
      </c>
      <c r="FX48" s="75" t="s">
        <v>308</v>
      </c>
      <c r="FY48" s="75"/>
      <c r="FZ48" s="75" t="s">
        <v>226</v>
      </c>
      <c r="GA48" s="75"/>
      <c r="GB48" s="75" t="s">
        <v>226</v>
      </c>
      <c r="GC48" s="75" t="s">
        <v>226</v>
      </c>
      <c r="GD48" s="75" t="s">
        <v>308</v>
      </c>
      <c r="GE48" s="75" t="s">
        <v>308</v>
      </c>
      <c r="GF48" s="75" t="s">
        <v>226</v>
      </c>
      <c r="GG48" s="75"/>
      <c r="GH48" s="81" t="s">
        <v>226</v>
      </c>
      <c r="GI48" s="81" t="s">
        <v>117</v>
      </c>
      <c r="GJ48" s="81" t="s">
        <v>226</v>
      </c>
      <c r="GK48" s="81" t="s">
        <v>226</v>
      </c>
      <c r="GL48" s="81" t="s">
        <v>226</v>
      </c>
      <c r="GM48" s="81"/>
      <c r="GN48" s="81" t="s">
        <v>355</v>
      </c>
      <c r="GO48" s="75" t="s">
        <v>226</v>
      </c>
      <c r="GP48" s="75" t="s">
        <v>226</v>
      </c>
      <c r="GQ48" s="81" t="s">
        <v>355</v>
      </c>
      <c r="GR48" s="81"/>
      <c r="GS48" s="75" t="s">
        <v>308</v>
      </c>
      <c r="GT48" s="75" t="s">
        <v>226</v>
      </c>
      <c r="GU48" s="75" t="s">
        <v>308</v>
      </c>
      <c r="GV48" s="75" t="s">
        <v>308</v>
      </c>
      <c r="GW48" s="75" t="s">
        <v>308</v>
      </c>
      <c r="GX48" s="75" t="s">
        <v>226</v>
      </c>
      <c r="GY48" s="75" t="s">
        <v>308</v>
      </c>
      <c r="GZ48" s="75" t="s">
        <v>308</v>
      </c>
      <c r="HA48" s="75" t="s">
        <v>308</v>
      </c>
      <c r="HB48" s="75" t="s">
        <v>308</v>
      </c>
      <c r="HC48" s="75" t="s">
        <v>226</v>
      </c>
      <c r="HD48" s="75" t="s">
        <v>308</v>
      </c>
      <c r="HE48" s="75"/>
      <c r="HF48" s="75" t="s">
        <v>308</v>
      </c>
      <c r="HG48" s="75" t="s">
        <v>226</v>
      </c>
      <c r="HH48" s="75" t="s">
        <v>226</v>
      </c>
      <c r="HI48" s="75" t="s">
        <v>308</v>
      </c>
      <c r="HJ48" s="75" t="s">
        <v>308</v>
      </c>
      <c r="HK48" s="75" t="s">
        <v>226</v>
      </c>
      <c r="HL48" s="75" t="s">
        <v>308</v>
      </c>
      <c r="HM48" s="75"/>
      <c r="HN48" s="75" t="s">
        <v>308</v>
      </c>
      <c r="HO48" s="75" t="s">
        <v>308</v>
      </c>
      <c r="HP48" s="75" t="s">
        <v>226</v>
      </c>
      <c r="HQ48" s="75" t="s">
        <v>226</v>
      </c>
      <c r="HR48" s="75" t="s">
        <v>308</v>
      </c>
      <c r="HS48" s="75" t="s">
        <v>308</v>
      </c>
      <c r="HT48" s="75"/>
      <c r="HU48" s="75" t="s">
        <v>308</v>
      </c>
      <c r="HV48" s="75" t="s">
        <v>226</v>
      </c>
      <c r="HW48" s="75" t="s">
        <v>308</v>
      </c>
      <c r="HX48" s="75" t="s">
        <v>308</v>
      </c>
      <c r="HY48" s="75" t="s">
        <v>308</v>
      </c>
      <c r="HZ48" s="75" t="s">
        <v>308</v>
      </c>
      <c r="IA48" s="75"/>
      <c r="IB48" s="81" t="s">
        <v>226</v>
      </c>
      <c r="IC48" s="81" t="s">
        <v>117</v>
      </c>
      <c r="ID48" s="81" t="s">
        <v>117</v>
      </c>
      <c r="IE48" s="81" t="s">
        <v>117</v>
      </c>
      <c r="IF48" s="81" t="s">
        <v>226</v>
      </c>
      <c r="IG48" s="81" t="s">
        <v>226</v>
      </c>
      <c r="IH48" s="81"/>
      <c r="II48" s="75" t="s">
        <v>226</v>
      </c>
      <c r="IJ48" s="75" t="s">
        <v>226</v>
      </c>
      <c r="IK48" s="75" t="s">
        <v>226</v>
      </c>
      <c r="IL48" s="75" t="s">
        <v>226</v>
      </c>
      <c r="IM48" s="75" t="s">
        <v>226</v>
      </c>
      <c r="IN48" s="81"/>
      <c r="IO48" s="81" t="s">
        <v>355</v>
      </c>
      <c r="IP48" s="75" t="s">
        <v>319</v>
      </c>
      <c r="IQ48" s="81" t="s">
        <v>355</v>
      </c>
      <c r="IR48" s="81" t="s">
        <v>355</v>
      </c>
      <c r="IS48" s="75" t="s">
        <v>308</v>
      </c>
      <c r="IT48" s="75" t="s">
        <v>226</v>
      </c>
      <c r="IU48" s="81" t="s">
        <v>355</v>
      </c>
      <c r="IV48" s="81"/>
      <c r="IW48" s="75" t="s">
        <v>308</v>
      </c>
      <c r="IX48" s="75" t="s">
        <v>319</v>
      </c>
      <c r="IY48" s="75" t="s">
        <v>226</v>
      </c>
      <c r="IZ48" s="75" t="s">
        <v>308</v>
      </c>
      <c r="JA48" s="75" t="s">
        <v>308</v>
      </c>
      <c r="JB48" s="81"/>
      <c r="JC48" s="81" t="s">
        <v>226</v>
      </c>
      <c r="JD48" s="81" t="s">
        <v>331</v>
      </c>
      <c r="JE48" s="81" t="s">
        <v>226</v>
      </c>
      <c r="JF48" s="81" t="s">
        <v>117</v>
      </c>
      <c r="JG48" s="81" t="s">
        <v>117</v>
      </c>
      <c r="JH48" s="81" t="s">
        <v>117</v>
      </c>
      <c r="JI48" s="81" t="s">
        <v>117</v>
      </c>
      <c r="JJ48" s="81" t="s">
        <v>226</v>
      </c>
      <c r="JK48" s="81" t="s">
        <v>226</v>
      </c>
      <c r="JL48" s="81"/>
      <c r="JM48" s="75" t="s">
        <v>308</v>
      </c>
      <c r="JN48" s="75" t="s">
        <v>226</v>
      </c>
      <c r="JO48" s="75" t="s">
        <v>308</v>
      </c>
      <c r="JP48" s="81"/>
      <c r="JQ48" s="75" t="s">
        <v>308</v>
      </c>
      <c r="JR48" s="75" t="s">
        <v>226</v>
      </c>
      <c r="JS48" s="75" t="s">
        <v>226</v>
      </c>
      <c r="JT48" s="75" t="s">
        <v>226</v>
      </c>
      <c r="JU48" s="75" t="s">
        <v>308</v>
      </c>
      <c r="JV48" s="75" t="s">
        <v>308</v>
      </c>
    </row>
    <row r="49" spans="1:282" x14ac:dyDescent="0.15">
      <c r="A49" s="214" t="s">
        <v>542</v>
      </c>
      <c r="B49" s="6" t="s">
        <v>17</v>
      </c>
      <c r="C49" s="6">
        <v>70000</v>
      </c>
      <c r="D49" s="6">
        <v>11</v>
      </c>
      <c r="E49" s="6">
        <v>4</v>
      </c>
      <c r="F49" s="6">
        <v>3</v>
      </c>
      <c r="G49" s="6" t="s">
        <v>37</v>
      </c>
      <c r="H49" s="6" t="s">
        <v>40</v>
      </c>
      <c r="I49" s="6" t="s">
        <v>41</v>
      </c>
      <c r="J49" s="21" t="s">
        <v>707</v>
      </c>
      <c r="K49" s="21">
        <v>1</v>
      </c>
      <c r="L49" s="21">
        <v>2</v>
      </c>
      <c r="M49" s="21">
        <v>1</v>
      </c>
      <c r="N49" s="21">
        <v>0</v>
      </c>
      <c r="O49" s="21">
        <v>0</v>
      </c>
      <c r="P49" s="21" t="str">
        <f>IF(TeamT[[#This Row],[General]]+TeamT[[#This Row],[Agility]]+TeamT[[#This Row],[Strength]]+TeamT[[#This Row],[Passing]]+TeamT[[#This Row],[Mutation]]&gt;0,IF(TeamT[[#This Row],[General]]=1,"G","")&amp;IF(TeamT[[#This Row],[Agility]]=1,"A","")&amp;IF(TeamT[[#This Row],[Strength]]=1,"S","")&amp;IF(TeamT[[#This Row],[Passing]]=1,"P","")&amp;IF(TeamT[[#This Row],[Mutation]]=1,"M",""),"Star")</f>
        <v>GS</v>
      </c>
      <c r="Q49" s="21" t="str">
        <f>IF(TeamT[[#This Row],[General]]=2,"G","")&amp;IF(TeamT[[#This Row],[Agility]]=2,"A","")&amp;IF(TeamT[[#This Row],[Strength]]=2,"S","")&amp;IF(TeamT[[#This Row],[Passing]]=2,"P","")&amp;IF(TeamT[[#This Row],[Mutation]]=2,"M","")</f>
        <v>A</v>
      </c>
      <c r="R49" s="212"/>
      <c r="S49" s="21">
        <v>4</v>
      </c>
      <c r="T49" s="21">
        <v>5</v>
      </c>
      <c r="U49" s="21">
        <v>10</v>
      </c>
      <c r="AA49" s="76" t="e">
        <f>HLOOKUP(Roster!$E$5,Team!$BL$2:$MK$128,48,FALSE)</f>
        <v>#N/A</v>
      </c>
      <c r="AB49" s="76" t="e">
        <f>HLOOKUP(Roster!$E$6,Team!$BL$2:$MK$128,48,FALSE)</f>
        <v>#N/A</v>
      </c>
      <c r="AC49" s="76" t="e">
        <f>HLOOKUP(Roster!$E$7,Team!$BL$2:$MK$128,48,FALSE)</f>
        <v>#N/A</v>
      </c>
      <c r="AD49" s="76" t="e">
        <f>HLOOKUP(Roster!$E$8,Team!$BL$2:$MK$128,48,FALSE)</f>
        <v>#N/A</v>
      </c>
      <c r="AE49" s="76" t="e">
        <f>HLOOKUP(Roster!$E$9,Team!$BL$2:$MK$128,48,FALSE)</f>
        <v>#N/A</v>
      </c>
      <c r="AF49" s="76" t="e">
        <f>HLOOKUP(Roster!$E$10,Team!$BL$2:$MK$128,48,FALSE)</f>
        <v>#N/A</v>
      </c>
      <c r="AG49" s="76" t="e">
        <f>HLOOKUP(Roster!$E$11,Team!$BL$2:$MK$128,48,FALSE)</f>
        <v>#N/A</v>
      </c>
      <c r="AH49" s="76" t="e">
        <f>HLOOKUP(Roster!$E$12,Team!$BL$2:$MK$128,48,FALSE)</f>
        <v>#N/A</v>
      </c>
      <c r="AI49" s="76" t="e">
        <f>HLOOKUP(Roster!$E$13,Team!$BL$2:$MK$128,48,FALSE)</f>
        <v>#N/A</v>
      </c>
      <c r="AJ49" s="76" t="e">
        <f>HLOOKUP(Roster!$E$14,Team!$BL$2:$MK$128,48,FALSE)</f>
        <v>#N/A</v>
      </c>
      <c r="AK49" s="76" t="e">
        <f>HLOOKUP(Roster!$E$15,Team!$BL$2:$MK$128,48,FALSE)</f>
        <v>#N/A</v>
      </c>
      <c r="AL49" s="76" t="e">
        <f>HLOOKUP(Roster!$E$16,Team!$BL$2:$MK$128,48,FALSE)</f>
        <v>#N/A</v>
      </c>
      <c r="AM49" s="76" t="e">
        <f>HLOOKUP(Roster!$E$17,Team!$BL$2:$MK$128,48,FALSE)</f>
        <v>#N/A</v>
      </c>
      <c r="AN49" s="76" t="e">
        <f>HLOOKUP(Roster!$E$18,Team!$BL$2:$MK$128,48,FALSE)</f>
        <v>#N/A</v>
      </c>
      <c r="AO49" s="76" t="e">
        <f>HLOOKUP(Roster!$E$19,Team!$BL$2:$MK$128,48,FALSE)</f>
        <v>#N/A</v>
      </c>
      <c r="AP49" s="76" t="e">
        <f>HLOOKUP(Roster!$E$20,Team!$BL$2:$MK$128,48,FALSE)</f>
        <v>#N/A</v>
      </c>
      <c r="AR49" s="108">
        <f t="shared" si="1"/>
        <v>0</v>
      </c>
      <c r="AS49" s="108">
        <f t="shared" si="2"/>
        <v>0</v>
      </c>
      <c r="AT49" s="108">
        <f t="shared" si="3"/>
        <v>0</v>
      </c>
      <c r="AU49" s="108">
        <f t="shared" si="4"/>
        <v>0</v>
      </c>
      <c r="AV49" s="108">
        <f t="shared" si="5"/>
        <v>0</v>
      </c>
      <c r="AW49" s="108">
        <f t="shared" si="6"/>
        <v>0</v>
      </c>
      <c r="AX49" s="108">
        <f t="shared" si="7"/>
        <v>0</v>
      </c>
      <c r="AY49" s="108">
        <f t="shared" si="8"/>
        <v>0</v>
      </c>
      <c r="AZ49" s="108">
        <f t="shared" si="9"/>
        <v>0</v>
      </c>
      <c r="BA49" s="108">
        <f t="shared" si="10"/>
        <v>0</v>
      </c>
      <c r="BB49" s="108">
        <f t="shared" si="11"/>
        <v>0</v>
      </c>
      <c r="BC49" s="108">
        <f t="shared" si="12"/>
        <v>0</v>
      </c>
      <c r="BD49" s="108">
        <f t="shared" si="13"/>
        <v>0</v>
      </c>
      <c r="BE49" s="108">
        <f t="shared" si="14"/>
        <v>0</v>
      </c>
      <c r="BF49" s="108">
        <f t="shared" si="15"/>
        <v>0</v>
      </c>
      <c r="BG49" s="108">
        <f t="shared" si="16"/>
        <v>0</v>
      </c>
      <c r="BL49" s="75" t="s">
        <v>309</v>
      </c>
      <c r="BM49" s="75" t="s">
        <v>134</v>
      </c>
      <c r="BN49" s="75" t="s">
        <v>309</v>
      </c>
      <c r="BO49" s="75" t="s">
        <v>309</v>
      </c>
      <c r="BP49" s="75" t="s">
        <v>309</v>
      </c>
      <c r="BQ49" s="75"/>
      <c r="BR49" s="75" t="s">
        <v>134</v>
      </c>
      <c r="BS49" s="75" t="s">
        <v>134</v>
      </c>
      <c r="BT49" s="75" t="s">
        <v>134</v>
      </c>
      <c r="BU49" s="75" t="s">
        <v>134</v>
      </c>
      <c r="BV49" s="75"/>
      <c r="BW49" s="81" t="s">
        <v>263</v>
      </c>
      <c r="BX49" s="81" t="s">
        <v>134</v>
      </c>
      <c r="BY49" s="81" t="s">
        <v>134</v>
      </c>
      <c r="BZ49" s="81" t="s">
        <v>134</v>
      </c>
      <c r="CA49" s="81" t="s">
        <v>134</v>
      </c>
      <c r="CB49" s="81" t="s">
        <v>263</v>
      </c>
      <c r="CC49" s="77"/>
      <c r="CD49" s="75" t="s">
        <v>309</v>
      </c>
      <c r="CE49" s="81" t="s">
        <v>134</v>
      </c>
      <c r="CF49" s="75" t="s">
        <v>309</v>
      </c>
      <c r="CG49" s="81" t="s">
        <v>134</v>
      </c>
      <c r="CH49" s="75" t="s">
        <v>309</v>
      </c>
      <c r="CI49" s="77"/>
      <c r="CJ49" s="81" t="s">
        <v>134</v>
      </c>
      <c r="CK49" s="81" t="s">
        <v>263</v>
      </c>
      <c r="CL49" s="81" t="s">
        <v>134</v>
      </c>
      <c r="CM49" s="81" t="s">
        <v>134</v>
      </c>
      <c r="CN49" s="81" t="s">
        <v>134</v>
      </c>
      <c r="CO49" s="81" t="s">
        <v>263</v>
      </c>
      <c r="CP49" s="81" t="s">
        <v>134</v>
      </c>
      <c r="CQ49" s="81" t="s">
        <v>134</v>
      </c>
      <c r="CR49" s="81" t="s">
        <v>134</v>
      </c>
      <c r="CS49" s="81" t="s">
        <v>134</v>
      </c>
      <c r="CT49" s="81" t="s">
        <v>134</v>
      </c>
      <c r="CU49" s="81"/>
      <c r="CV49" s="75" t="s">
        <v>134</v>
      </c>
      <c r="CW49" s="75" t="s">
        <v>134</v>
      </c>
      <c r="CX49" s="75" t="s">
        <v>134</v>
      </c>
      <c r="CY49" s="75" t="s">
        <v>134</v>
      </c>
      <c r="CZ49" s="75" t="s">
        <v>134</v>
      </c>
      <c r="DA49" s="81"/>
      <c r="DB49" s="75" t="s">
        <v>309</v>
      </c>
      <c r="DC49" s="75" t="s">
        <v>134</v>
      </c>
      <c r="DD49" s="75" t="s">
        <v>134</v>
      </c>
      <c r="DE49" s="75" t="s">
        <v>134</v>
      </c>
      <c r="DF49" s="75" t="s">
        <v>134</v>
      </c>
      <c r="DG49" s="75" t="s">
        <v>309</v>
      </c>
      <c r="DH49" s="75"/>
      <c r="DI49" s="75" t="s">
        <v>309</v>
      </c>
      <c r="DJ49" s="75" t="s">
        <v>134</v>
      </c>
      <c r="DK49" s="75" t="s">
        <v>134</v>
      </c>
      <c r="DL49" s="75" t="s">
        <v>309</v>
      </c>
      <c r="DM49" s="75" t="s">
        <v>309</v>
      </c>
      <c r="DN49" s="75" t="s">
        <v>309</v>
      </c>
      <c r="DO49" s="75"/>
      <c r="DP49" s="75" t="s">
        <v>309</v>
      </c>
      <c r="DQ49" s="75" t="s">
        <v>134</v>
      </c>
      <c r="DR49" s="75" t="s">
        <v>309</v>
      </c>
      <c r="DS49" s="75" t="s">
        <v>134</v>
      </c>
      <c r="DT49" s="75" t="s">
        <v>309</v>
      </c>
      <c r="DU49" s="75"/>
      <c r="DV49" s="75" t="s">
        <v>134</v>
      </c>
      <c r="DW49" s="75" t="s">
        <v>134</v>
      </c>
      <c r="DX49" s="75" t="s">
        <v>309</v>
      </c>
      <c r="DY49" s="75" t="s">
        <v>309</v>
      </c>
      <c r="DZ49" s="75" t="s">
        <v>134</v>
      </c>
      <c r="EA49" s="75" t="s">
        <v>134</v>
      </c>
      <c r="EB49" s="75" t="s">
        <v>309</v>
      </c>
      <c r="EC49" s="75" t="s">
        <v>134</v>
      </c>
      <c r="ED49" s="75" t="s">
        <v>134</v>
      </c>
      <c r="EE49" s="75"/>
      <c r="EF49" s="75" t="s">
        <v>309</v>
      </c>
      <c r="EG49" s="75" t="s">
        <v>134</v>
      </c>
      <c r="EH49" s="75" t="s">
        <v>309</v>
      </c>
      <c r="EI49" s="75" t="s">
        <v>134</v>
      </c>
      <c r="EJ49" s="75" t="s">
        <v>309</v>
      </c>
      <c r="EK49" s="75"/>
      <c r="EL49" s="75" t="s">
        <v>134</v>
      </c>
      <c r="EM49" s="75" t="s">
        <v>134</v>
      </c>
      <c r="EN49" s="75" t="s">
        <v>309</v>
      </c>
      <c r="EO49" s="75" t="s">
        <v>134</v>
      </c>
      <c r="EP49" s="75" t="s">
        <v>134</v>
      </c>
      <c r="EQ49" s="75"/>
      <c r="ER49" s="75" t="s">
        <v>309</v>
      </c>
      <c r="ES49" s="75" t="s">
        <v>134</v>
      </c>
      <c r="ET49" s="75" t="s">
        <v>134</v>
      </c>
      <c r="EU49" s="75" t="s">
        <v>134</v>
      </c>
      <c r="EV49" s="75" t="s">
        <v>309</v>
      </c>
      <c r="EW49" s="75" t="s">
        <v>309</v>
      </c>
      <c r="EX49" s="75" t="s">
        <v>309</v>
      </c>
      <c r="EY49" s="75"/>
      <c r="EZ49" s="75" t="s">
        <v>309</v>
      </c>
      <c r="FA49" s="75" t="s">
        <v>134</v>
      </c>
      <c r="FB49" s="75" t="s">
        <v>134</v>
      </c>
      <c r="FC49" s="75" t="s">
        <v>309</v>
      </c>
      <c r="FD49" s="75" t="s">
        <v>309</v>
      </c>
      <c r="FE49" s="75" t="s">
        <v>309</v>
      </c>
      <c r="FF49" s="75"/>
      <c r="FG49" s="81" t="s">
        <v>134</v>
      </c>
      <c r="FH49" s="81" t="s">
        <v>263</v>
      </c>
      <c r="FI49" s="81" t="s">
        <v>134</v>
      </c>
      <c r="FJ49" s="81" t="s">
        <v>134</v>
      </c>
      <c r="FK49" s="81" t="s">
        <v>134</v>
      </c>
      <c r="FL49" s="75"/>
      <c r="FM49" s="75" t="s">
        <v>134</v>
      </c>
      <c r="FN49" s="75" t="s">
        <v>134</v>
      </c>
      <c r="FO49" s="75" t="s">
        <v>309</v>
      </c>
      <c r="FP49" s="75" t="s">
        <v>309</v>
      </c>
      <c r="FQ49" s="75" t="s">
        <v>134</v>
      </c>
      <c r="FR49" s="75"/>
      <c r="FS49" s="75" t="s">
        <v>309</v>
      </c>
      <c r="FT49" s="75" t="s">
        <v>134</v>
      </c>
      <c r="FU49" s="75" t="s">
        <v>309</v>
      </c>
      <c r="FV49" s="75" t="s">
        <v>134</v>
      </c>
      <c r="FW49" s="75" t="s">
        <v>309</v>
      </c>
      <c r="FX49" s="75" t="s">
        <v>309</v>
      </c>
      <c r="FY49" s="75"/>
      <c r="FZ49" s="75" t="s">
        <v>134</v>
      </c>
      <c r="GA49" s="75"/>
      <c r="GB49" s="75" t="s">
        <v>134</v>
      </c>
      <c r="GC49" s="75" t="s">
        <v>134</v>
      </c>
      <c r="GD49" s="75" t="s">
        <v>309</v>
      </c>
      <c r="GE49" s="75" t="s">
        <v>309</v>
      </c>
      <c r="GF49" s="75" t="s">
        <v>134</v>
      </c>
      <c r="GG49" s="75"/>
      <c r="GH49" s="81" t="s">
        <v>134</v>
      </c>
      <c r="GI49" s="81" t="s">
        <v>263</v>
      </c>
      <c r="GJ49" s="81" t="s">
        <v>134</v>
      </c>
      <c r="GK49" s="81" t="s">
        <v>134</v>
      </c>
      <c r="GL49" s="81" t="s">
        <v>134</v>
      </c>
      <c r="GM49" s="81"/>
      <c r="GN49" s="81" t="s">
        <v>356</v>
      </c>
      <c r="GO49" s="75" t="s">
        <v>134</v>
      </c>
      <c r="GP49" s="75" t="s">
        <v>134</v>
      </c>
      <c r="GQ49" s="81" t="s">
        <v>356</v>
      </c>
      <c r="GR49" s="81"/>
      <c r="GS49" s="75" t="s">
        <v>309</v>
      </c>
      <c r="GT49" s="75" t="s">
        <v>134</v>
      </c>
      <c r="GU49" s="75" t="s">
        <v>309</v>
      </c>
      <c r="GV49" s="75" t="s">
        <v>309</v>
      </c>
      <c r="GW49" s="75" t="s">
        <v>309</v>
      </c>
      <c r="GX49" s="75" t="s">
        <v>134</v>
      </c>
      <c r="GY49" s="75" t="s">
        <v>309</v>
      </c>
      <c r="GZ49" s="75" t="s">
        <v>309</v>
      </c>
      <c r="HA49" s="75" t="s">
        <v>309</v>
      </c>
      <c r="HB49" s="75" t="s">
        <v>309</v>
      </c>
      <c r="HC49" s="75" t="s">
        <v>134</v>
      </c>
      <c r="HD49" s="75" t="s">
        <v>309</v>
      </c>
      <c r="HE49" s="75"/>
      <c r="HF49" s="75" t="s">
        <v>309</v>
      </c>
      <c r="HG49" s="75" t="s">
        <v>134</v>
      </c>
      <c r="HH49" s="75" t="s">
        <v>134</v>
      </c>
      <c r="HI49" s="75" t="s">
        <v>309</v>
      </c>
      <c r="HJ49" s="75" t="s">
        <v>309</v>
      </c>
      <c r="HK49" s="75" t="s">
        <v>134</v>
      </c>
      <c r="HL49" s="75" t="s">
        <v>309</v>
      </c>
      <c r="HM49" s="75"/>
      <c r="HN49" s="75" t="s">
        <v>309</v>
      </c>
      <c r="HO49" s="75" t="s">
        <v>309</v>
      </c>
      <c r="HP49" s="75" t="s">
        <v>134</v>
      </c>
      <c r="HQ49" s="75" t="s">
        <v>134</v>
      </c>
      <c r="HR49" s="75" t="s">
        <v>309</v>
      </c>
      <c r="HS49" s="75" t="s">
        <v>309</v>
      </c>
      <c r="HT49" s="75"/>
      <c r="HU49" s="75" t="s">
        <v>309</v>
      </c>
      <c r="HV49" s="75" t="s">
        <v>134</v>
      </c>
      <c r="HW49" s="75" t="s">
        <v>309</v>
      </c>
      <c r="HX49" s="75" t="s">
        <v>309</v>
      </c>
      <c r="HY49" s="75" t="s">
        <v>309</v>
      </c>
      <c r="HZ49" s="75" t="s">
        <v>309</v>
      </c>
      <c r="IA49" s="75"/>
      <c r="IB49" s="81" t="s">
        <v>134</v>
      </c>
      <c r="IC49" s="81" t="s">
        <v>263</v>
      </c>
      <c r="ID49" s="81" t="s">
        <v>263</v>
      </c>
      <c r="IE49" s="81" t="s">
        <v>263</v>
      </c>
      <c r="IF49" s="81" t="s">
        <v>134</v>
      </c>
      <c r="IG49" s="81" t="s">
        <v>134</v>
      </c>
      <c r="IH49" s="81"/>
      <c r="II49" s="75" t="s">
        <v>134</v>
      </c>
      <c r="IJ49" s="75" t="s">
        <v>134</v>
      </c>
      <c r="IK49" s="75" t="s">
        <v>134</v>
      </c>
      <c r="IL49" s="75" t="s">
        <v>134</v>
      </c>
      <c r="IM49" s="75" t="s">
        <v>134</v>
      </c>
      <c r="IN49" s="81"/>
      <c r="IO49" s="81" t="s">
        <v>356</v>
      </c>
      <c r="IP49" s="75" t="s">
        <v>320</v>
      </c>
      <c r="IQ49" s="81" t="s">
        <v>356</v>
      </c>
      <c r="IR49" s="81" t="s">
        <v>356</v>
      </c>
      <c r="IS49" s="75" t="s">
        <v>309</v>
      </c>
      <c r="IT49" s="75" t="s">
        <v>134</v>
      </c>
      <c r="IU49" s="81" t="s">
        <v>356</v>
      </c>
      <c r="IV49" s="81"/>
      <c r="IW49" s="75" t="s">
        <v>309</v>
      </c>
      <c r="IX49" s="75" t="s">
        <v>320</v>
      </c>
      <c r="IY49" s="75" t="s">
        <v>134</v>
      </c>
      <c r="IZ49" s="75" t="s">
        <v>309</v>
      </c>
      <c r="JA49" s="75" t="s">
        <v>309</v>
      </c>
      <c r="JB49" s="81"/>
      <c r="JC49" s="81" t="s">
        <v>134</v>
      </c>
      <c r="JD49" s="81" t="s">
        <v>332</v>
      </c>
      <c r="JE49" s="81" t="s">
        <v>134</v>
      </c>
      <c r="JF49" s="81" t="s">
        <v>263</v>
      </c>
      <c r="JG49" s="81" t="s">
        <v>263</v>
      </c>
      <c r="JH49" s="81" t="s">
        <v>263</v>
      </c>
      <c r="JI49" s="81" t="s">
        <v>263</v>
      </c>
      <c r="JJ49" s="81" t="s">
        <v>134</v>
      </c>
      <c r="JK49" s="81" t="s">
        <v>134</v>
      </c>
      <c r="JL49" s="81"/>
      <c r="JM49" s="75" t="s">
        <v>309</v>
      </c>
      <c r="JN49" s="75" t="s">
        <v>134</v>
      </c>
      <c r="JO49" s="75" t="s">
        <v>309</v>
      </c>
      <c r="JP49" s="81"/>
      <c r="JQ49" s="75" t="s">
        <v>309</v>
      </c>
      <c r="JR49" s="75" t="s">
        <v>134</v>
      </c>
      <c r="JS49" s="75" t="s">
        <v>134</v>
      </c>
      <c r="JT49" s="75" t="s">
        <v>134</v>
      </c>
      <c r="JU49" s="75" t="s">
        <v>309</v>
      </c>
      <c r="JV49" s="75" t="s">
        <v>309</v>
      </c>
    </row>
    <row r="50" spans="1:282" x14ac:dyDescent="0.15">
      <c r="A50" s="214" t="s">
        <v>496</v>
      </c>
      <c r="B50" s="6" t="s">
        <v>486</v>
      </c>
      <c r="C50" s="6">
        <v>60000</v>
      </c>
      <c r="D50" s="6">
        <v>12</v>
      </c>
      <c r="E50" s="6">
        <v>6</v>
      </c>
      <c r="F50" s="6">
        <v>3</v>
      </c>
      <c r="G50" s="6" t="s">
        <v>59</v>
      </c>
      <c r="H50" s="6" t="s">
        <v>37</v>
      </c>
      <c r="I50" s="6" t="s">
        <v>38</v>
      </c>
      <c r="J50" s="21"/>
      <c r="K50" s="21">
        <v>1</v>
      </c>
      <c r="L50" s="21">
        <v>1</v>
      </c>
      <c r="M50" s="21">
        <v>2</v>
      </c>
      <c r="N50" s="21">
        <v>0</v>
      </c>
      <c r="O50" s="21">
        <v>0</v>
      </c>
      <c r="P50" s="21" t="str">
        <f>IF(TeamT[[#This Row],[General]]+TeamT[[#This Row],[Agility]]+TeamT[[#This Row],[Strength]]+TeamT[[#This Row],[Passing]]+TeamT[[#This Row],[Mutation]]&gt;0,IF(TeamT[[#This Row],[General]]=1,"G","")&amp;IF(TeamT[[#This Row],[Agility]]=1,"A","")&amp;IF(TeamT[[#This Row],[Strength]]=1,"S","")&amp;IF(TeamT[[#This Row],[Passing]]=1,"P","")&amp;IF(TeamT[[#This Row],[Mutation]]=1,"M",""),"Star")</f>
        <v>GA</v>
      </c>
      <c r="Q50" s="21" t="str">
        <f>IF(TeamT[[#This Row],[General]]=2,"G","")&amp;IF(TeamT[[#This Row],[Agility]]=2,"A","")&amp;IF(TeamT[[#This Row],[Strength]]=2,"S","")&amp;IF(TeamT[[#This Row],[Passing]]=2,"P","")&amp;IF(TeamT[[#This Row],[Mutation]]=2,"M","")</f>
        <v>S</v>
      </c>
      <c r="R50" s="212"/>
      <c r="S50" s="21">
        <v>2</v>
      </c>
      <c r="T50" s="21">
        <v>4</v>
      </c>
      <c r="U50" s="21">
        <v>8</v>
      </c>
      <c r="AA50" s="76" t="e">
        <f>HLOOKUP(Roster!$E$5,Team!$BL$2:$MK$128,49,FALSE)</f>
        <v>#N/A</v>
      </c>
      <c r="AB50" s="76" t="e">
        <f>HLOOKUP(Roster!$E$6,Team!$BL$2:$MK$128,49,FALSE)</f>
        <v>#N/A</v>
      </c>
      <c r="AC50" s="76" t="e">
        <f>HLOOKUP(Roster!$E$7,Team!$BL$2:$MK$128,49,FALSE)</f>
        <v>#N/A</v>
      </c>
      <c r="AD50" s="76" t="e">
        <f>HLOOKUP(Roster!$E$8,Team!$BL$2:$MK$128,49,FALSE)</f>
        <v>#N/A</v>
      </c>
      <c r="AE50" s="76" t="e">
        <f>HLOOKUP(Roster!$E$9,Team!$BL$2:$MK$128,49,FALSE)</f>
        <v>#N/A</v>
      </c>
      <c r="AF50" s="76" t="e">
        <f>HLOOKUP(Roster!$E$10,Team!$BL$2:$MK$128,49,FALSE)</f>
        <v>#N/A</v>
      </c>
      <c r="AG50" s="76" t="e">
        <f>HLOOKUP(Roster!$E$11,Team!$BL$2:$MK$128,49,FALSE)</f>
        <v>#N/A</v>
      </c>
      <c r="AH50" s="76" t="e">
        <f>HLOOKUP(Roster!$E$12,Team!$BL$2:$MK$128,49,FALSE)</f>
        <v>#N/A</v>
      </c>
      <c r="AI50" s="76" t="e">
        <f>HLOOKUP(Roster!$E$13,Team!$BL$2:$MK$128,49,FALSE)</f>
        <v>#N/A</v>
      </c>
      <c r="AJ50" s="76" t="e">
        <f>HLOOKUP(Roster!$E$14,Team!$BL$2:$MK$128,49,FALSE)</f>
        <v>#N/A</v>
      </c>
      <c r="AK50" s="76" t="e">
        <f>HLOOKUP(Roster!$E$15,Team!$BL$2:$MK$128,49,FALSE)</f>
        <v>#N/A</v>
      </c>
      <c r="AL50" s="76" t="e">
        <f>HLOOKUP(Roster!$E$16,Team!$BL$2:$MK$128,49,FALSE)</f>
        <v>#N/A</v>
      </c>
      <c r="AM50" s="76" t="e">
        <f>HLOOKUP(Roster!$E$17,Team!$BL$2:$MK$128,49,FALSE)</f>
        <v>#N/A</v>
      </c>
      <c r="AN50" s="76" t="e">
        <f>HLOOKUP(Roster!$E$18,Team!$BL$2:$MK$128,49,FALSE)</f>
        <v>#N/A</v>
      </c>
      <c r="AO50" s="76" t="e">
        <f>HLOOKUP(Roster!$E$19,Team!$BL$2:$MK$128,49,FALSE)</f>
        <v>#N/A</v>
      </c>
      <c r="AP50" s="76" t="e">
        <f>HLOOKUP(Roster!$E$20,Team!$BL$2:$MK$128,49,FALSE)</f>
        <v>#N/A</v>
      </c>
      <c r="AR50" s="108">
        <f t="shared" si="1"/>
        <v>0</v>
      </c>
      <c r="AS50" s="108">
        <f t="shared" si="2"/>
        <v>0</v>
      </c>
      <c r="AT50" s="108">
        <f t="shared" si="3"/>
        <v>0</v>
      </c>
      <c r="AU50" s="108">
        <f t="shared" si="4"/>
        <v>0</v>
      </c>
      <c r="AV50" s="108">
        <f t="shared" si="5"/>
        <v>0</v>
      </c>
      <c r="AW50" s="108">
        <f t="shared" si="6"/>
        <v>0</v>
      </c>
      <c r="AX50" s="108">
        <f t="shared" si="7"/>
        <v>0</v>
      </c>
      <c r="AY50" s="108">
        <f t="shared" si="8"/>
        <v>0</v>
      </c>
      <c r="AZ50" s="108">
        <f t="shared" si="9"/>
        <v>0</v>
      </c>
      <c r="BA50" s="108">
        <f t="shared" si="10"/>
        <v>0</v>
      </c>
      <c r="BB50" s="108">
        <f t="shared" si="11"/>
        <v>0</v>
      </c>
      <c r="BC50" s="108">
        <f t="shared" si="12"/>
        <v>0</v>
      </c>
      <c r="BD50" s="108">
        <f t="shared" si="13"/>
        <v>0</v>
      </c>
      <c r="BE50" s="108">
        <f t="shared" si="14"/>
        <v>0</v>
      </c>
      <c r="BF50" s="108">
        <f t="shared" si="15"/>
        <v>0</v>
      </c>
      <c r="BG50" s="108">
        <f t="shared" si="16"/>
        <v>0</v>
      </c>
      <c r="BL50" s="75" t="s">
        <v>574</v>
      </c>
      <c r="BM50" s="75" t="s">
        <v>227</v>
      </c>
      <c r="BN50" s="75" t="s">
        <v>574</v>
      </c>
      <c r="BO50" s="75" t="s">
        <v>574</v>
      </c>
      <c r="BP50" s="75" t="s">
        <v>574</v>
      </c>
      <c r="BQ50" s="75"/>
      <c r="BR50" s="75" t="s">
        <v>227</v>
      </c>
      <c r="BS50" s="75" t="s">
        <v>227</v>
      </c>
      <c r="BT50" s="75" t="s">
        <v>227</v>
      </c>
      <c r="BU50" s="75" t="s">
        <v>227</v>
      </c>
      <c r="BV50" s="75"/>
      <c r="BW50" s="81" t="s">
        <v>233</v>
      </c>
      <c r="BX50" s="81" t="s">
        <v>227</v>
      </c>
      <c r="BY50" s="81" t="s">
        <v>227</v>
      </c>
      <c r="BZ50" s="81" t="s">
        <v>227</v>
      </c>
      <c r="CA50" s="81" t="s">
        <v>227</v>
      </c>
      <c r="CB50" s="81" t="s">
        <v>233</v>
      </c>
      <c r="CC50" s="77"/>
      <c r="CD50" s="75" t="s">
        <v>574</v>
      </c>
      <c r="CE50" s="81" t="s">
        <v>227</v>
      </c>
      <c r="CF50" s="75" t="s">
        <v>574</v>
      </c>
      <c r="CG50" s="81" t="s">
        <v>227</v>
      </c>
      <c r="CH50" s="75" t="s">
        <v>574</v>
      </c>
      <c r="CI50" s="77"/>
      <c r="CJ50" s="81" t="s">
        <v>227</v>
      </c>
      <c r="CK50" s="81" t="s">
        <v>233</v>
      </c>
      <c r="CL50" s="81" t="s">
        <v>227</v>
      </c>
      <c r="CM50" s="81" t="s">
        <v>227</v>
      </c>
      <c r="CN50" s="81" t="s">
        <v>227</v>
      </c>
      <c r="CO50" s="81" t="s">
        <v>233</v>
      </c>
      <c r="CP50" s="81" t="s">
        <v>227</v>
      </c>
      <c r="CQ50" s="81" t="s">
        <v>227</v>
      </c>
      <c r="CR50" s="81" t="s">
        <v>227</v>
      </c>
      <c r="CS50" s="81" t="s">
        <v>227</v>
      </c>
      <c r="CT50" s="81" t="s">
        <v>227</v>
      </c>
      <c r="CU50" s="81"/>
      <c r="CV50" s="75" t="s">
        <v>227</v>
      </c>
      <c r="CW50" s="75" t="s">
        <v>227</v>
      </c>
      <c r="CX50" s="75" t="s">
        <v>227</v>
      </c>
      <c r="CY50" s="75" t="s">
        <v>227</v>
      </c>
      <c r="CZ50" s="75" t="s">
        <v>227</v>
      </c>
      <c r="DA50" s="81"/>
      <c r="DB50" s="75" t="s">
        <v>574</v>
      </c>
      <c r="DC50" s="75" t="s">
        <v>227</v>
      </c>
      <c r="DD50" s="75" t="s">
        <v>227</v>
      </c>
      <c r="DE50" s="75" t="s">
        <v>227</v>
      </c>
      <c r="DF50" s="75" t="s">
        <v>227</v>
      </c>
      <c r="DG50" s="75" t="s">
        <v>574</v>
      </c>
      <c r="DH50" s="75"/>
      <c r="DI50" s="75" t="s">
        <v>574</v>
      </c>
      <c r="DJ50" s="75" t="s">
        <v>227</v>
      </c>
      <c r="DK50" s="75" t="s">
        <v>227</v>
      </c>
      <c r="DL50" s="75" t="s">
        <v>574</v>
      </c>
      <c r="DM50" s="75" t="s">
        <v>574</v>
      </c>
      <c r="DN50" s="75" t="s">
        <v>574</v>
      </c>
      <c r="DO50" s="75"/>
      <c r="DP50" s="75" t="s">
        <v>574</v>
      </c>
      <c r="DQ50" s="75" t="s">
        <v>227</v>
      </c>
      <c r="DR50" s="75" t="s">
        <v>574</v>
      </c>
      <c r="DS50" s="75" t="s">
        <v>227</v>
      </c>
      <c r="DT50" s="75" t="s">
        <v>574</v>
      </c>
      <c r="DU50" s="75"/>
      <c r="DV50" s="75" t="s">
        <v>227</v>
      </c>
      <c r="DW50" s="75" t="s">
        <v>227</v>
      </c>
      <c r="DX50" s="75" t="s">
        <v>574</v>
      </c>
      <c r="DY50" s="75" t="s">
        <v>574</v>
      </c>
      <c r="DZ50" s="75" t="s">
        <v>227</v>
      </c>
      <c r="EA50" s="75" t="s">
        <v>227</v>
      </c>
      <c r="EB50" s="75" t="s">
        <v>574</v>
      </c>
      <c r="EC50" s="75" t="s">
        <v>227</v>
      </c>
      <c r="ED50" s="75" t="s">
        <v>227</v>
      </c>
      <c r="EE50" s="75"/>
      <c r="EF50" s="75" t="s">
        <v>574</v>
      </c>
      <c r="EG50" s="75" t="s">
        <v>227</v>
      </c>
      <c r="EH50" s="75" t="s">
        <v>574</v>
      </c>
      <c r="EI50" s="75" t="s">
        <v>227</v>
      </c>
      <c r="EJ50" s="75" t="s">
        <v>574</v>
      </c>
      <c r="EK50" s="75"/>
      <c r="EL50" s="75" t="s">
        <v>227</v>
      </c>
      <c r="EM50" s="75" t="s">
        <v>227</v>
      </c>
      <c r="EN50" s="75" t="s">
        <v>574</v>
      </c>
      <c r="EO50" s="75" t="s">
        <v>227</v>
      </c>
      <c r="EP50" s="75" t="s">
        <v>227</v>
      </c>
      <c r="EQ50" s="75"/>
      <c r="ER50" s="75" t="s">
        <v>574</v>
      </c>
      <c r="ES50" s="75" t="s">
        <v>227</v>
      </c>
      <c r="ET50" s="75" t="s">
        <v>227</v>
      </c>
      <c r="EU50" s="75" t="s">
        <v>227</v>
      </c>
      <c r="EV50" s="75" t="s">
        <v>574</v>
      </c>
      <c r="EW50" s="75" t="s">
        <v>574</v>
      </c>
      <c r="EX50" s="75" t="s">
        <v>574</v>
      </c>
      <c r="EY50" s="75"/>
      <c r="EZ50" s="75" t="s">
        <v>574</v>
      </c>
      <c r="FA50" s="75" t="s">
        <v>227</v>
      </c>
      <c r="FB50" s="75" t="s">
        <v>227</v>
      </c>
      <c r="FC50" s="75" t="s">
        <v>574</v>
      </c>
      <c r="FD50" s="75" t="s">
        <v>574</v>
      </c>
      <c r="FE50" s="75" t="s">
        <v>574</v>
      </c>
      <c r="FF50" s="75"/>
      <c r="FG50" s="81" t="s">
        <v>227</v>
      </c>
      <c r="FH50" s="81" t="s">
        <v>233</v>
      </c>
      <c r="FI50" s="81" t="s">
        <v>227</v>
      </c>
      <c r="FJ50" s="81" t="s">
        <v>227</v>
      </c>
      <c r="FK50" s="81" t="s">
        <v>227</v>
      </c>
      <c r="FL50" s="75"/>
      <c r="FM50" s="75" t="s">
        <v>227</v>
      </c>
      <c r="FN50" s="75" t="s">
        <v>227</v>
      </c>
      <c r="FO50" s="75" t="s">
        <v>574</v>
      </c>
      <c r="FP50" s="75" t="s">
        <v>574</v>
      </c>
      <c r="FQ50" s="75" t="s">
        <v>227</v>
      </c>
      <c r="FR50" s="75"/>
      <c r="FS50" s="75" t="s">
        <v>574</v>
      </c>
      <c r="FT50" s="75" t="s">
        <v>227</v>
      </c>
      <c r="FU50" s="75" t="s">
        <v>574</v>
      </c>
      <c r="FV50" s="75" t="s">
        <v>227</v>
      </c>
      <c r="FW50" s="75" t="s">
        <v>574</v>
      </c>
      <c r="FX50" s="75" t="s">
        <v>574</v>
      </c>
      <c r="FY50" s="75"/>
      <c r="FZ50" s="75" t="s">
        <v>227</v>
      </c>
      <c r="GA50" s="75"/>
      <c r="GB50" s="75" t="s">
        <v>227</v>
      </c>
      <c r="GC50" s="75" t="s">
        <v>227</v>
      </c>
      <c r="GD50" s="75" t="s">
        <v>574</v>
      </c>
      <c r="GE50" s="75" t="s">
        <v>574</v>
      </c>
      <c r="GF50" s="75" t="s">
        <v>227</v>
      </c>
      <c r="GG50" s="75"/>
      <c r="GH50" s="81" t="s">
        <v>227</v>
      </c>
      <c r="GI50" s="81" t="s">
        <v>233</v>
      </c>
      <c r="GJ50" s="81" t="s">
        <v>227</v>
      </c>
      <c r="GK50" s="81" t="s">
        <v>227</v>
      </c>
      <c r="GL50" s="81" t="s">
        <v>227</v>
      </c>
      <c r="GM50" s="81"/>
      <c r="GN50" s="81" t="s">
        <v>357</v>
      </c>
      <c r="GO50" s="75" t="s">
        <v>227</v>
      </c>
      <c r="GP50" s="75" t="s">
        <v>227</v>
      </c>
      <c r="GQ50" s="81" t="s">
        <v>357</v>
      </c>
      <c r="GR50" s="81"/>
      <c r="GS50" s="75" t="s">
        <v>574</v>
      </c>
      <c r="GT50" s="75" t="s">
        <v>227</v>
      </c>
      <c r="GU50" s="75" t="s">
        <v>574</v>
      </c>
      <c r="GV50" s="75" t="s">
        <v>574</v>
      </c>
      <c r="GW50" s="75" t="s">
        <v>574</v>
      </c>
      <c r="GX50" s="75" t="s">
        <v>227</v>
      </c>
      <c r="GY50" s="75" t="s">
        <v>574</v>
      </c>
      <c r="GZ50" s="75" t="s">
        <v>574</v>
      </c>
      <c r="HA50" s="75" t="s">
        <v>574</v>
      </c>
      <c r="HB50" s="75" t="s">
        <v>574</v>
      </c>
      <c r="HC50" s="75" t="s">
        <v>227</v>
      </c>
      <c r="HD50" s="75" t="s">
        <v>574</v>
      </c>
      <c r="HE50" s="75"/>
      <c r="HF50" s="75" t="s">
        <v>574</v>
      </c>
      <c r="HG50" s="75" t="s">
        <v>227</v>
      </c>
      <c r="HH50" s="75" t="s">
        <v>227</v>
      </c>
      <c r="HI50" s="75" t="s">
        <v>574</v>
      </c>
      <c r="HJ50" s="75" t="s">
        <v>574</v>
      </c>
      <c r="HK50" s="75" t="s">
        <v>227</v>
      </c>
      <c r="HL50" s="75" t="s">
        <v>574</v>
      </c>
      <c r="HM50" s="75"/>
      <c r="HN50" s="75" t="s">
        <v>574</v>
      </c>
      <c r="HO50" s="75" t="s">
        <v>574</v>
      </c>
      <c r="HP50" s="75" t="s">
        <v>227</v>
      </c>
      <c r="HQ50" s="75" t="s">
        <v>227</v>
      </c>
      <c r="HR50" s="75" t="s">
        <v>574</v>
      </c>
      <c r="HS50" s="75" t="s">
        <v>574</v>
      </c>
      <c r="HT50" s="75"/>
      <c r="HU50" s="75" t="s">
        <v>574</v>
      </c>
      <c r="HV50" s="75" t="s">
        <v>227</v>
      </c>
      <c r="HW50" s="75" t="s">
        <v>574</v>
      </c>
      <c r="HX50" s="75" t="s">
        <v>574</v>
      </c>
      <c r="HY50" s="75" t="s">
        <v>574</v>
      </c>
      <c r="HZ50" s="75" t="s">
        <v>574</v>
      </c>
      <c r="IA50" s="75"/>
      <c r="IB50" s="81" t="s">
        <v>227</v>
      </c>
      <c r="IC50" s="81" t="s">
        <v>233</v>
      </c>
      <c r="ID50" s="81" t="s">
        <v>233</v>
      </c>
      <c r="IE50" s="81" t="s">
        <v>233</v>
      </c>
      <c r="IF50" s="81" t="s">
        <v>227</v>
      </c>
      <c r="IG50" s="81" t="s">
        <v>227</v>
      </c>
      <c r="IH50" s="81"/>
      <c r="II50" s="75" t="s">
        <v>227</v>
      </c>
      <c r="IJ50" s="75" t="s">
        <v>227</v>
      </c>
      <c r="IK50" s="75" t="s">
        <v>227</v>
      </c>
      <c r="IL50" s="75" t="s">
        <v>227</v>
      </c>
      <c r="IM50" s="75" t="s">
        <v>227</v>
      </c>
      <c r="IN50" s="81"/>
      <c r="IO50" s="81" t="s">
        <v>357</v>
      </c>
      <c r="IP50" s="75" t="s">
        <v>321</v>
      </c>
      <c r="IQ50" s="81" t="s">
        <v>357</v>
      </c>
      <c r="IR50" s="81" t="s">
        <v>357</v>
      </c>
      <c r="IS50" s="75" t="s">
        <v>574</v>
      </c>
      <c r="IT50" s="75" t="s">
        <v>227</v>
      </c>
      <c r="IU50" s="81" t="s">
        <v>357</v>
      </c>
      <c r="IV50" s="81"/>
      <c r="IW50" s="75" t="s">
        <v>574</v>
      </c>
      <c r="IX50" s="75" t="s">
        <v>321</v>
      </c>
      <c r="IY50" s="75" t="s">
        <v>227</v>
      </c>
      <c r="IZ50" s="75" t="s">
        <v>574</v>
      </c>
      <c r="JA50" s="75" t="s">
        <v>574</v>
      </c>
      <c r="JB50" s="81"/>
      <c r="JC50" s="81" t="s">
        <v>227</v>
      </c>
      <c r="JD50" s="81" t="s">
        <v>333</v>
      </c>
      <c r="JE50" s="81" t="s">
        <v>227</v>
      </c>
      <c r="JF50" s="81" t="s">
        <v>233</v>
      </c>
      <c r="JG50" s="81" t="s">
        <v>233</v>
      </c>
      <c r="JH50" s="81" t="s">
        <v>233</v>
      </c>
      <c r="JI50" s="81" t="s">
        <v>233</v>
      </c>
      <c r="JJ50" s="81" t="s">
        <v>227</v>
      </c>
      <c r="JK50" s="81" t="s">
        <v>227</v>
      </c>
      <c r="JL50" s="81"/>
      <c r="JM50" s="75" t="s">
        <v>574</v>
      </c>
      <c r="JN50" s="75" t="s">
        <v>227</v>
      </c>
      <c r="JO50" s="75" t="s">
        <v>574</v>
      </c>
      <c r="JP50" s="81"/>
      <c r="JQ50" s="75" t="s">
        <v>574</v>
      </c>
      <c r="JR50" s="75" t="s">
        <v>227</v>
      </c>
      <c r="JS50" s="75" t="s">
        <v>227</v>
      </c>
      <c r="JT50" s="75" t="s">
        <v>227</v>
      </c>
      <c r="JU50" s="75" t="s">
        <v>574</v>
      </c>
      <c r="JV50" s="75" t="s">
        <v>574</v>
      </c>
    </row>
    <row r="51" spans="1:282" x14ac:dyDescent="0.15">
      <c r="A51" s="214" t="s">
        <v>84</v>
      </c>
      <c r="B51" s="6" t="s">
        <v>486</v>
      </c>
      <c r="C51" s="6">
        <v>75000</v>
      </c>
      <c r="D51" s="6">
        <v>2</v>
      </c>
      <c r="E51" s="6">
        <v>6</v>
      </c>
      <c r="F51" s="6">
        <v>3</v>
      </c>
      <c r="G51" s="6" t="s">
        <v>59</v>
      </c>
      <c r="H51" s="6" t="s">
        <v>59</v>
      </c>
      <c r="I51" s="6" t="s">
        <v>38</v>
      </c>
      <c r="J51" s="21" t="s">
        <v>6</v>
      </c>
      <c r="K51" s="21">
        <v>1</v>
      </c>
      <c r="L51" s="21">
        <v>1</v>
      </c>
      <c r="M51" s="21">
        <v>2</v>
      </c>
      <c r="N51" s="21">
        <v>1</v>
      </c>
      <c r="O51" s="21">
        <v>0</v>
      </c>
      <c r="P51" s="21" t="str">
        <f>IF(TeamT[[#This Row],[General]]+TeamT[[#This Row],[Agility]]+TeamT[[#This Row],[Strength]]+TeamT[[#This Row],[Passing]]+TeamT[[#This Row],[Mutation]]&gt;0,IF(TeamT[[#This Row],[General]]=1,"G","")&amp;IF(TeamT[[#This Row],[Agility]]=1,"A","")&amp;IF(TeamT[[#This Row],[Strength]]=1,"S","")&amp;IF(TeamT[[#This Row],[Passing]]=1,"P","")&amp;IF(TeamT[[#This Row],[Mutation]]=1,"M",""),"Star")</f>
        <v>GAP</v>
      </c>
      <c r="Q51" s="21" t="str">
        <f>IF(TeamT[[#This Row],[General]]=2,"G","")&amp;IF(TeamT[[#This Row],[Agility]]=2,"A","")&amp;IF(TeamT[[#This Row],[Strength]]=2,"S","")&amp;IF(TeamT[[#This Row],[Passing]]=2,"P","")&amp;IF(TeamT[[#This Row],[Mutation]]=2,"M","")</f>
        <v>S</v>
      </c>
      <c r="R51" s="212"/>
      <c r="S51" s="21">
        <v>2</v>
      </c>
      <c r="T51" s="21">
        <v>2</v>
      </c>
      <c r="U51" s="21">
        <v>8</v>
      </c>
      <c r="AA51" s="76" t="e">
        <f>HLOOKUP(Roster!$E$5,Team!$BL$2:$MK$128,50,FALSE)</f>
        <v>#N/A</v>
      </c>
      <c r="AB51" s="76" t="e">
        <f>HLOOKUP(Roster!$E$6,Team!$BL$2:$MK$128,50,FALSE)</f>
        <v>#N/A</v>
      </c>
      <c r="AC51" s="76" t="e">
        <f>HLOOKUP(Roster!$E$7,Team!$BL$2:$MK$128,50,FALSE)</f>
        <v>#N/A</v>
      </c>
      <c r="AD51" s="76" t="e">
        <f>HLOOKUP(Roster!$E$8,Team!$BL$2:$MK$128,50,FALSE)</f>
        <v>#N/A</v>
      </c>
      <c r="AE51" s="76" t="e">
        <f>HLOOKUP(Roster!$E$9,Team!$BL$2:$MK$128,50,FALSE)</f>
        <v>#N/A</v>
      </c>
      <c r="AF51" s="76" t="e">
        <f>HLOOKUP(Roster!$E$10,Team!$BL$2:$MK$128,50,FALSE)</f>
        <v>#N/A</v>
      </c>
      <c r="AG51" s="76" t="e">
        <f>HLOOKUP(Roster!$E$11,Team!$BL$2:$MK$128,50,FALSE)</f>
        <v>#N/A</v>
      </c>
      <c r="AH51" s="76" t="e">
        <f>HLOOKUP(Roster!$E$12,Team!$BL$2:$MK$128,50,FALSE)</f>
        <v>#N/A</v>
      </c>
      <c r="AI51" s="76" t="e">
        <f>HLOOKUP(Roster!$E$13,Team!$BL$2:$MK$128,50,FALSE)</f>
        <v>#N/A</v>
      </c>
      <c r="AJ51" s="76" t="e">
        <f>HLOOKUP(Roster!$E$14,Team!$BL$2:$MK$128,50,FALSE)</f>
        <v>#N/A</v>
      </c>
      <c r="AK51" s="76" t="e">
        <f>HLOOKUP(Roster!$E$15,Team!$BL$2:$MK$128,50,FALSE)</f>
        <v>#N/A</v>
      </c>
      <c r="AL51" s="76" t="e">
        <f>HLOOKUP(Roster!$E$16,Team!$BL$2:$MK$128,50,FALSE)</f>
        <v>#N/A</v>
      </c>
      <c r="AM51" s="76" t="e">
        <f>HLOOKUP(Roster!$E$17,Team!$BL$2:$MK$128,50,FALSE)</f>
        <v>#N/A</v>
      </c>
      <c r="AN51" s="76" t="e">
        <f>HLOOKUP(Roster!$E$18,Team!$BL$2:$MK$128,50,FALSE)</f>
        <v>#N/A</v>
      </c>
      <c r="AO51" s="76" t="e">
        <f>HLOOKUP(Roster!$E$19,Team!$BL$2:$MK$128,50,FALSE)</f>
        <v>#N/A</v>
      </c>
      <c r="AP51" s="76" t="e">
        <f>HLOOKUP(Roster!$E$20,Team!$BL$2:$MK$128,50,FALSE)</f>
        <v>#N/A</v>
      </c>
      <c r="AR51" s="108">
        <f t="shared" si="1"/>
        <v>0</v>
      </c>
      <c r="AS51" s="108">
        <f t="shared" si="2"/>
        <v>0</v>
      </c>
      <c r="AT51" s="108">
        <f t="shared" si="3"/>
        <v>0</v>
      </c>
      <c r="AU51" s="108">
        <f t="shared" si="4"/>
        <v>0</v>
      </c>
      <c r="AV51" s="108">
        <f t="shared" si="5"/>
        <v>0</v>
      </c>
      <c r="AW51" s="108">
        <f t="shared" si="6"/>
        <v>0</v>
      </c>
      <c r="AX51" s="108">
        <f t="shared" si="7"/>
        <v>0</v>
      </c>
      <c r="AY51" s="108">
        <f t="shared" si="8"/>
        <v>0</v>
      </c>
      <c r="AZ51" s="108">
        <f t="shared" si="9"/>
        <v>0</v>
      </c>
      <c r="BA51" s="108">
        <f t="shared" si="10"/>
        <v>0</v>
      </c>
      <c r="BB51" s="108">
        <f t="shared" si="11"/>
        <v>0</v>
      </c>
      <c r="BC51" s="108">
        <f t="shared" si="12"/>
        <v>0</v>
      </c>
      <c r="BD51" s="108">
        <f t="shared" si="13"/>
        <v>0</v>
      </c>
      <c r="BE51" s="108">
        <f t="shared" si="14"/>
        <v>0</v>
      </c>
      <c r="BF51" s="108">
        <f t="shared" si="15"/>
        <v>0</v>
      </c>
      <c r="BG51" s="108">
        <f t="shared" si="16"/>
        <v>0</v>
      </c>
      <c r="BL51" s="75" t="s">
        <v>310</v>
      </c>
      <c r="BM51" s="75" t="s">
        <v>228</v>
      </c>
      <c r="BN51" s="75" t="s">
        <v>310</v>
      </c>
      <c r="BO51" s="75" t="s">
        <v>310</v>
      </c>
      <c r="BP51" s="75" t="s">
        <v>310</v>
      </c>
      <c r="BQ51" s="75"/>
      <c r="BR51" s="75" t="s">
        <v>228</v>
      </c>
      <c r="BS51" s="75" t="s">
        <v>228</v>
      </c>
      <c r="BT51" s="75" t="s">
        <v>228</v>
      </c>
      <c r="BU51" s="75" t="s">
        <v>228</v>
      </c>
      <c r="BV51" s="75"/>
      <c r="BW51" s="81" t="s">
        <v>234</v>
      </c>
      <c r="BX51" s="81" t="s">
        <v>228</v>
      </c>
      <c r="BY51" s="81" t="s">
        <v>228</v>
      </c>
      <c r="BZ51" s="81" t="s">
        <v>228</v>
      </c>
      <c r="CA51" s="81" t="s">
        <v>228</v>
      </c>
      <c r="CB51" s="81" t="s">
        <v>234</v>
      </c>
      <c r="CC51" s="77"/>
      <c r="CD51" s="75" t="s">
        <v>310</v>
      </c>
      <c r="CE51" s="81" t="s">
        <v>228</v>
      </c>
      <c r="CF51" s="75" t="s">
        <v>310</v>
      </c>
      <c r="CG51" s="81" t="s">
        <v>228</v>
      </c>
      <c r="CH51" s="75" t="s">
        <v>310</v>
      </c>
      <c r="CI51" s="77"/>
      <c r="CJ51" s="81" t="s">
        <v>228</v>
      </c>
      <c r="CK51" s="81" t="s">
        <v>234</v>
      </c>
      <c r="CL51" s="81" t="s">
        <v>228</v>
      </c>
      <c r="CM51" s="81" t="s">
        <v>228</v>
      </c>
      <c r="CN51" s="81" t="s">
        <v>228</v>
      </c>
      <c r="CO51" s="81" t="s">
        <v>234</v>
      </c>
      <c r="CP51" s="81" t="s">
        <v>228</v>
      </c>
      <c r="CQ51" s="81" t="s">
        <v>228</v>
      </c>
      <c r="CR51" s="81" t="s">
        <v>228</v>
      </c>
      <c r="CS51" s="81" t="s">
        <v>228</v>
      </c>
      <c r="CT51" s="81" t="s">
        <v>228</v>
      </c>
      <c r="CU51" s="81"/>
      <c r="CV51" s="75" t="s">
        <v>228</v>
      </c>
      <c r="CW51" s="75" t="s">
        <v>228</v>
      </c>
      <c r="CX51" s="75" t="s">
        <v>228</v>
      </c>
      <c r="CY51" s="75" t="s">
        <v>228</v>
      </c>
      <c r="CZ51" s="75" t="s">
        <v>228</v>
      </c>
      <c r="DA51" s="81"/>
      <c r="DB51" s="75" t="s">
        <v>310</v>
      </c>
      <c r="DC51" s="75" t="s">
        <v>228</v>
      </c>
      <c r="DD51" s="75" t="s">
        <v>228</v>
      </c>
      <c r="DE51" s="75" t="s">
        <v>228</v>
      </c>
      <c r="DF51" s="75" t="s">
        <v>228</v>
      </c>
      <c r="DG51" s="75" t="s">
        <v>310</v>
      </c>
      <c r="DH51" s="75"/>
      <c r="DI51" s="75" t="s">
        <v>310</v>
      </c>
      <c r="DJ51" s="75" t="s">
        <v>228</v>
      </c>
      <c r="DK51" s="75" t="s">
        <v>228</v>
      </c>
      <c r="DL51" s="75" t="s">
        <v>310</v>
      </c>
      <c r="DM51" s="75" t="s">
        <v>310</v>
      </c>
      <c r="DN51" s="75" t="s">
        <v>310</v>
      </c>
      <c r="DO51" s="75"/>
      <c r="DP51" s="75" t="s">
        <v>310</v>
      </c>
      <c r="DQ51" s="75" t="s">
        <v>228</v>
      </c>
      <c r="DR51" s="75" t="s">
        <v>310</v>
      </c>
      <c r="DS51" s="75" t="s">
        <v>228</v>
      </c>
      <c r="DT51" s="75" t="s">
        <v>310</v>
      </c>
      <c r="DU51" s="75"/>
      <c r="DV51" s="75" t="s">
        <v>228</v>
      </c>
      <c r="DW51" s="75" t="s">
        <v>228</v>
      </c>
      <c r="DX51" s="75" t="s">
        <v>310</v>
      </c>
      <c r="DY51" s="75" t="s">
        <v>310</v>
      </c>
      <c r="DZ51" s="75" t="s">
        <v>228</v>
      </c>
      <c r="EA51" s="75" t="s">
        <v>228</v>
      </c>
      <c r="EB51" s="75" t="s">
        <v>310</v>
      </c>
      <c r="EC51" s="75" t="s">
        <v>228</v>
      </c>
      <c r="ED51" s="75" t="s">
        <v>228</v>
      </c>
      <c r="EE51" s="75"/>
      <c r="EF51" s="75" t="s">
        <v>310</v>
      </c>
      <c r="EG51" s="75" t="s">
        <v>228</v>
      </c>
      <c r="EH51" s="75" t="s">
        <v>310</v>
      </c>
      <c r="EI51" s="75" t="s">
        <v>228</v>
      </c>
      <c r="EJ51" s="75" t="s">
        <v>310</v>
      </c>
      <c r="EK51" s="75"/>
      <c r="EL51" s="75" t="s">
        <v>228</v>
      </c>
      <c r="EM51" s="75" t="s">
        <v>228</v>
      </c>
      <c r="EN51" s="75" t="s">
        <v>310</v>
      </c>
      <c r="EO51" s="75" t="s">
        <v>228</v>
      </c>
      <c r="EP51" s="75" t="s">
        <v>228</v>
      </c>
      <c r="EQ51" s="75"/>
      <c r="ER51" s="75" t="s">
        <v>310</v>
      </c>
      <c r="ES51" s="75" t="s">
        <v>228</v>
      </c>
      <c r="ET51" s="75" t="s">
        <v>228</v>
      </c>
      <c r="EU51" s="75" t="s">
        <v>228</v>
      </c>
      <c r="EV51" s="75" t="s">
        <v>310</v>
      </c>
      <c r="EW51" s="75" t="s">
        <v>310</v>
      </c>
      <c r="EX51" s="75" t="s">
        <v>310</v>
      </c>
      <c r="EY51" s="75"/>
      <c r="EZ51" s="75" t="s">
        <v>310</v>
      </c>
      <c r="FA51" s="75" t="s">
        <v>228</v>
      </c>
      <c r="FB51" s="75" t="s">
        <v>228</v>
      </c>
      <c r="FC51" s="75" t="s">
        <v>310</v>
      </c>
      <c r="FD51" s="75" t="s">
        <v>310</v>
      </c>
      <c r="FE51" s="75" t="s">
        <v>310</v>
      </c>
      <c r="FF51" s="75"/>
      <c r="FG51" s="81" t="s">
        <v>228</v>
      </c>
      <c r="FH51" s="81" t="s">
        <v>234</v>
      </c>
      <c r="FI51" s="81" t="s">
        <v>228</v>
      </c>
      <c r="FJ51" s="81" t="s">
        <v>228</v>
      </c>
      <c r="FK51" s="81" t="s">
        <v>228</v>
      </c>
      <c r="FL51" s="75"/>
      <c r="FM51" s="75" t="s">
        <v>228</v>
      </c>
      <c r="FN51" s="75" t="s">
        <v>228</v>
      </c>
      <c r="FO51" s="75" t="s">
        <v>310</v>
      </c>
      <c r="FP51" s="75" t="s">
        <v>310</v>
      </c>
      <c r="FQ51" s="75" t="s">
        <v>228</v>
      </c>
      <c r="FR51" s="75"/>
      <c r="FS51" s="75" t="s">
        <v>310</v>
      </c>
      <c r="FT51" s="75" t="s">
        <v>228</v>
      </c>
      <c r="FU51" s="75" t="s">
        <v>310</v>
      </c>
      <c r="FV51" s="75" t="s">
        <v>228</v>
      </c>
      <c r="FW51" s="75" t="s">
        <v>310</v>
      </c>
      <c r="FX51" s="75" t="s">
        <v>310</v>
      </c>
      <c r="FY51" s="75"/>
      <c r="FZ51" s="75" t="s">
        <v>228</v>
      </c>
      <c r="GA51" s="75"/>
      <c r="GB51" s="75" t="s">
        <v>228</v>
      </c>
      <c r="GC51" s="75" t="s">
        <v>228</v>
      </c>
      <c r="GD51" s="75" t="s">
        <v>310</v>
      </c>
      <c r="GE51" s="75" t="s">
        <v>310</v>
      </c>
      <c r="GF51" s="75" t="s">
        <v>228</v>
      </c>
      <c r="GG51" s="75"/>
      <c r="GH51" s="81" t="s">
        <v>228</v>
      </c>
      <c r="GI51" s="81" t="s">
        <v>234</v>
      </c>
      <c r="GJ51" s="81" t="s">
        <v>228</v>
      </c>
      <c r="GK51" s="81" t="s">
        <v>228</v>
      </c>
      <c r="GL51" s="81" t="s">
        <v>228</v>
      </c>
      <c r="GM51" s="81"/>
      <c r="GN51" s="81" t="s">
        <v>358</v>
      </c>
      <c r="GO51" s="75" t="s">
        <v>228</v>
      </c>
      <c r="GP51" s="75" t="s">
        <v>228</v>
      </c>
      <c r="GQ51" s="81" t="s">
        <v>358</v>
      </c>
      <c r="GR51" s="81"/>
      <c r="GS51" s="75" t="s">
        <v>310</v>
      </c>
      <c r="GT51" s="75" t="s">
        <v>228</v>
      </c>
      <c r="GU51" s="75" t="s">
        <v>310</v>
      </c>
      <c r="GV51" s="75" t="s">
        <v>310</v>
      </c>
      <c r="GW51" s="75" t="s">
        <v>310</v>
      </c>
      <c r="GX51" s="75" t="s">
        <v>228</v>
      </c>
      <c r="GY51" s="75" t="s">
        <v>310</v>
      </c>
      <c r="GZ51" s="75" t="s">
        <v>310</v>
      </c>
      <c r="HA51" s="75" t="s">
        <v>310</v>
      </c>
      <c r="HB51" s="75" t="s">
        <v>310</v>
      </c>
      <c r="HC51" s="75" t="s">
        <v>228</v>
      </c>
      <c r="HD51" s="75" t="s">
        <v>310</v>
      </c>
      <c r="HE51" s="75"/>
      <c r="HF51" s="75" t="s">
        <v>310</v>
      </c>
      <c r="HG51" s="75" t="s">
        <v>228</v>
      </c>
      <c r="HH51" s="75" t="s">
        <v>228</v>
      </c>
      <c r="HI51" s="75" t="s">
        <v>310</v>
      </c>
      <c r="HJ51" s="75" t="s">
        <v>310</v>
      </c>
      <c r="HK51" s="75" t="s">
        <v>228</v>
      </c>
      <c r="HL51" s="75" t="s">
        <v>310</v>
      </c>
      <c r="HM51" s="75"/>
      <c r="HN51" s="75" t="s">
        <v>310</v>
      </c>
      <c r="HO51" s="75" t="s">
        <v>310</v>
      </c>
      <c r="HP51" s="75" t="s">
        <v>228</v>
      </c>
      <c r="HQ51" s="75" t="s">
        <v>228</v>
      </c>
      <c r="HR51" s="75" t="s">
        <v>310</v>
      </c>
      <c r="HS51" s="75" t="s">
        <v>310</v>
      </c>
      <c r="HT51" s="75"/>
      <c r="HU51" s="75" t="s">
        <v>310</v>
      </c>
      <c r="HV51" s="75" t="s">
        <v>228</v>
      </c>
      <c r="HW51" s="75" t="s">
        <v>310</v>
      </c>
      <c r="HX51" s="75" t="s">
        <v>310</v>
      </c>
      <c r="HY51" s="75" t="s">
        <v>310</v>
      </c>
      <c r="HZ51" s="75" t="s">
        <v>310</v>
      </c>
      <c r="IA51" s="75"/>
      <c r="IB51" s="81" t="s">
        <v>228</v>
      </c>
      <c r="IC51" s="81" t="s">
        <v>234</v>
      </c>
      <c r="ID51" s="81" t="s">
        <v>234</v>
      </c>
      <c r="IE51" s="81" t="s">
        <v>234</v>
      </c>
      <c r="IF51" s="81" t="s">
        <v>228</v>
      </c>
      <c r="IG51" s="81" t="s">
        <v>228</v>
      </c>
      <c r="IH51" s="81"/>
      <c r="II51" s="75" t="s">
        <v>228</v>
      </c>
      <c r="IJ51" s="75" t="s">
        <v>228</v>
      </c>
      <c r="IK51" s="75" t="s">
        <v>228</v>
      </c>
      <c r="IL51" s="75" t="s">
        <v>228</v>
      </c>
      <c r="IM51" s="75" t="s">
        <v>228</v>
      </c>
      <c r="IN51" s="81"/>
      <c r="IO51" s="81" t="s">
        <v>358</v>
      </c>
      <c r="IP51" s="75" t="s">
        <v>322</v>
      </c>
      <c r="IQ51" s="81" t="s">
        <v>358</v>
      </c>
      <c r="IR51" s="81" t="s">
        <v>358</v>
      </c>
      <c r="IS51" s="75" t="s">
        <v>310</v>
      </c>
      <c r="IT51" s="75" t="s">
        <v>228</v>
      </c>
      <c r="IU51" s="81" t="s">
        <v>358</v>
      </c>
      <c r="IV51" s="81"/>
      <c r="IW51" s="75" t="s">
        <v>310</v>
      </c>
      <c r="IX51" s="75" t="s">
        <v>322</v>
      </c>
      <c r="IY51" s="75" t="s">
        <v>228</v>
      </c>
      <c r="IZ51" s="75" t="s">
        <v>310</v>
      </c>
      <c r="JA51" s="75" t="s">
        <v>310</v>
      </c>
      <c r="JB51" s="81"/>
      <c r="JC51" s="81" t="s">
        <v>228</v>
      </c>
      <c r="JD51" s="81" t="s">
        <v>334</v>
      </c>
      <c r="JE51" s="81" t="s">
        <v>228</v>
      </c>
      <c r="JF51" s="81" t="s">
        <v>234</v>
      </c>
      <c r="JG51" s="81" t="s">
        <v>234</v>
      </c>
      <c r="JH51" s="81" t="s">
        <v>234</v>
      </c>
      <c r="JI51" s="81" t="s">
        <v>234</v>
      </c>
      <c r="JJ51" s="81" t="s">
        <v>228</v>
      </c>
      <c r="JK51" s="81" t="s">
        <v>228</v>
      </c>
      <c r="JL51" s="81"/>
      <c r="JM51" s="75" t="s">
        <v>310</v>
      </c>
      <c r="JN51" s="75" t="s">
        <v>228</v>
      </c>
      <c r="JO51" s="75" t="s">
        <v>310</v>
      </c>
      <c r="JP51" s="81"/>
      <c r="JQ51" s="75" t="s">
        <v>310</v>
      </c>
      <c r="JR51" s="75" t="s">
        <v>228</v>
      </c>
      <c r="JS51" s="75" t="s">
        <v>228</v>
      </c>
      <c r="JT51" s="75" t="s">
        <v>228</v>
      </c>
      <c r="JU51" s="75" t="s">
        <v>310</v>
      </c>
      <c r="JV51" s="75" t="s">
        <v>310</v>
      </c>
    </row>
    <row r="52" spans="1:282" x14ac:dyDescent="0.15">
      <c r="A52" s="214" t="s">
        <v>85</v>
      </c>
      <c r="B52" s="6" t="s">
        <v>486</v>
      </c>
      <c r="C52" s="6">
        <v>100000</v>
      </c>
      <c r="D52" s="6">
        <v>4</v>
      </c>
      <c r="E52" s="6">
        <v>8</v>
      </c>
      <c r="F52" s="6">
        <v>3</v>
      </c>
      <c r="G52" s="6" t="s">
        <v>59</v>
      </c>
      <c r="H52" s="6" t="s">
        <v>37</v>
      </c>
      <c r="I52" s="6" t="s">
        <v>38</v>
      </c>
      <c r="J52" s="21" t="s">
        <v>86</v>
      </c>
      <c r="K52" s="21">
        <v>1</v>
      </c>
      <c r="L52" s="21">
        <v>1</v>
      </c>
      <c r="M52" s="21">
        <v>2</v>
      </c>
      <c r="N52" s="21">
        <v>0</v>
      </c>
      <c r="O52" s="21">
        <v>0</v>
      </c>
      <c r="P52" s="21" t="str">
        <f>IF(TeamT[[#This Row],[General]]+TeamT[[#This Row],[Agility]]+TeamT[[#This Row],[Strength]]+TeamT[[#This Row],[Passing]]+TeamT[[#This Row],[Mutation]]&gt;0,IF(TeamT[[#This Row],[General]]=1,"G","")&amp;IF(TeamT[[#This Row],[Agility]]=1,"A","")&amp;IF(TeamT[[#This Row],[Strength]]=1,"S","")&amp;IF(TeamT[[#This Row],[Passing]]=1,"P","")&amp;IF(TeamT[[#This Row],[Mutation]]=1,"M",""),"Star")</f>
        <v>GA</v>
      </c>
      <c r="Q52" s="21" t="str">
        <f>IF(TeamT[[#This Row],[General]]=2,"G","")&amp;IF(TeamT[[#This Row],[Agility]]=2,"A","")&amp;IF(TeamT[[#This Row],[Strength]]=2,"S","")&amp;IF(TeamT[[#This Row],[Passing]]=2,"P","")&amp;IF(TeamT[[#This Row],[Mutation]]=2,"M","")</f>
        <v>S</v>
      </c>
      <c r="R52" s="212"/>
      <c r="S52" s="21">
        <v>2</v>
      </c>
      <c r="T52" s="21">
        <v>4</v>
      </c>
      <c r="U52" s="21">
        <v>8</v>
      </c>
      <c r="AA52" s="76" t="e">
        <f>HLOOKUP(Roster!$E$5,Team!$BL$2:$MK$128,51,FALSE)</f>
        <v>#N/A</v>
      </c>
      <c r="AB52" s="76" t="e">
        <f>HLOOKUP(Roster!$E$6,Team!$BL$2:$MK$128,51,FALSE)</f>
        <v>#N/A</v>
      </c>
      <c r="AC52" s="76" t="e">
        <f>HLOOKUP(Roster!$E$7,Team!$BL$2:$MK$128,51,FALSE)</f>
        <v>#N/A</v>
      </c>
      <c r="AD52" s="76" t="e">
        <f>HLOOKUP(Roster!$E$8,Team!$BL$2:$MK$128,51,FALSE)</f>
        <v>#N/A</v>
      </c>
      <c r="AE52" s="76" t="e">
        <f>HLOOKUP(Roster!$E$9,Team!$BL$2:$MK$128,51,FALSE)</f>
        <v>#N/A</v>
      </c>
      <c r="AF52" s="76" t="e">
        <f>HLOOKUP(Roster!$E$10,Team!$BL$2:$MK$128,51,FALSE)</f>
        <v>#N/A</v>
      </c>
      <c r="AG52" s="76" t="e">
        <f>HLOOKUP(Roster!$E$11,Team!$BL$2:$MK$128,51,FALSE)</f>
        <v>#N/A</v>
      </c>
      <c r="AH52" s="76" t="e">
        <f>HLOOKUP(Roster!$E$12,Team!$BL$2:$MK$128,51,FALSE)</f>
        <v>#N/A</v>
      </c>
      <c r="AI52" s="76" t="e">
        <f>HLOOKUP(Roster!$E$13,Team!$BL$2:$MK$128,51,FALSE)</f>
        <v>#N/A</v>
      </c>
      <c r="AJ52" s="76" t="e">
        <f>HLOOKUP(Roster!$E$14,Team!$BL$2:$MK$128,51,FALSE)</f>
        <v>#N/A</v>
      </c>
      <c r="AK52" s="76" t="e">
        <f>HLOOKUP(Roster!$E$15,Team!$BL$2:$MK$128,51,FALSE)</f>
        <v>#N/A</v>
      </c>
      <c r="AL52" s="76" t="e">
        <f>HLOOKUP(Roster!$E$16,Team!$BL$2:$MK$128,51,FALSE)</f>
        <v>#N/A</v>
      </c>
      <c r="AM52" s="76" t="e">
        <f>HLOOKUP(Roster!$E$17,Team!$BL$2:$MK$128,51,FALSE)</f>
        <v>#N/A</v>
      </c>
      <c r="AN52" s="76" t="e">
        <f>HLOOKUP(Roster!$E$18,Team!$BL$2:$MK$128,51,FALSE)</f>
        <v>#N/A</v>
      </c>
      <c r="AO52" s="76" t="e">
        <f>HLOOKUP(Roster!$E$19,Team!$BL$2:$MK$128,51,FALSE)</f>
        <v>#N/A</v>
      </c>
      <c r="AP52" s="76" t="e">
        <f>HLOOKUP(Roster!$E$20,Team!$BL$2:$MK$128,51,FALSE)</f>
        <v>#N/A</v>
      </c>
      <c r="AR52" s="108">
        <f t="shared" si="1"/>
        <v>0</v>
      </c>
      <c r="AS52" s="108">
        <f t="shared" si="2"/>
        <v>0</v>
      </c>
      <c r="AT52" s="108">
        <f t="shared" si="3"/>
        <v>0</v>
      </c>
      <c r="AU52" s="108">
        <f t="shared" si="4"/>
        <v>0</v>
      </c>
      <c r="AV52" s="108">
        <f t="shared" si="5"/>
        <v>0</v>
      </c>
      <c r="AW52" s="108">
        <f t="shared" si="6"/>
        <v>0</v>
      </c>
      <c r="AX52" s="108">
        <f t="shared" si="7"/>
        <v>0</v>
      </c>
      <c r="AY52" s="108">
        <f t="shared" si="8"/>
        <v>0</v>
      </c>
      <c r="AZ52" s="108">
        <f t="shared" si="9"/>
        <v>0</v>
      </c>
      <c r="BA52" s="108">
        <f t="shared" si="10"/>
        <v>0</v>
      </c>
      <c r="BB52" s="108">
        <f t="shared" si="11"/>
        <v>0</v>
      </c>
      <c r="BC52" s="108">
        <f t="shared" si="12"/>
        <v>0</v>
      </c>
      <c r="BD52" s="108">
        <f t="shared" si="13"/>
        <v>0</v>
      </c>
      <c r="BE52" s="108">
        <f t="shared" si="14"/>
        <v>0</v>
      </c>
      <c r="BF52" s="108">
        <f t="shared" si="15"/>
        <v>0</v>
      </c>
      <c r="BG52" s="108">
        <f t="shared" si="16"/>
        <v>0</v>
      </c>
      <c r="BL52" s="75" t="s">
        <v>311</v>
      </c>
      <c r="BM52" s="74" t="s">
        <v>260</v>
      </c>
      <c r="BN52" s="75" t="s">
        <v>311</v>
      </c>
      <c r="BO52" s="75" t="s">
        <v>311</v>
      </c>
      <c r="BP52" s="75" t="s">
        <v>311</v>
      </c>
      <c r="BQ52" s="74"/>
      <c r="BR52" s="74" t="s">
        <v>260</v>
      </c>
      <c r="BS52" s="74" t="s">
        <v>260</v>
      </c>
      <c r="BT52" s="74" t="s">
        <v>260</v>
      </c>
      <c r="BU52" s="74" t="s">
        <v>260</v>
      </c>
      <c r="BV52" s="74"/>
      <c r="BW52" s="81" t="s">
        <v>235</v>
      </c>
      <c r="BX52" s="80" t="s">
        <v>260</v>
      </c>
      <c r="BY52" s="80" t="s">
        <v>260</v>
      </c>
      <c r="BZ52" s="80" t="s">
        <v>260</v>
      </c>
      <c r="CA52" s="80" t="s">
        <v>260</v>
      </c>
      <c r="CB52" s="81" t="s">
        <v>235</v>
      </c>
      <c r="CC52" s="77"/>
      <c r="CD52" s="75" t="s">
        <v>311</v>
      </c>
      <c r="CE52" s="80" t="s">
        <v>260</v>
      </c>
      <c r="CF52" s="75" t="s">
        <v>311</v>
      </c>
      <c r="CG52" s="80" t="s">
        <v>260</v>
      </c>
      <c r="CH52" s="75" t="s">
        <v>311</v>
      </c>
      <c r="CI52" s="77"/>
      <c r="CJ52" s="80" t="s">
        <v>260</v>
      </c>
      <c r="CK52" s="81" t="s">
        <v>235</v>
      </c>
      <c r="CL52" s="80" t="s">
        <v>260</v>
      </c>
      <c r="CM52" s="80" t="s">
        <v>260</v>
      </c>
      <c r="CN52" s="80" t="s">
        <v>260</v>
      </c>
      <c r="CO52" s="81" t="s">
        <v>235</v>
      </c>
      <c r="CP52" s="80" t="s">
        <v>260</v>
      </c>
      <c r="CQ52" s="80" t="s">
        <v>260</v>
      </c>
      <c r="CR52" s="80" t="s">
        <v>260</v>
      </c>
      <c r="CS52" s="80" t="s">
        <v>260</v>
      </c>
      <c r="CT52" s="80" t="s">
        <v>260</v>
      </c>
      <c r="CU52" s="80"/>
      <c r="CV52" s="74" t="s">
        <v>260</v>
      </c>
      <c r="CW52" s="74" t="s">
        <v>260</v>
      </c>
      <c r="CX52" s="74" t="s">
        <v>260</v>
      </c>
      <c r="CY52" s="74" t="s">
        <v>260</v>
      </c>
      <c r="CZ52" s="74" t="s">
        <v>260</v>
      </c>
      <c r="DA52" s="80"/>
      <c r="DB52" s="75" t="s">
        <v>311</v>
      </c>
      <c r="DC52" s="74" t="s">
        <v>260</v>
      </c>
      <c r="DD52" s="74" t="s">
        <v>260</v>
      </c>
      <c r="DE52" s="74" t="s">
        <v>260</v>
      </c>
      <c r="DF52" s="74" t="s">
        <v>260</v>
      </c>
      <c r="DG52" s="75" t="s">
        <v>311</v>
      </c>
      <c r="DH52" s="75"/>
      <c r="DI52" s="75" t="s">
        <v>311</v>
      </c>
      <c r="DJ52" s="74" t="s">
        <v>260</v>
      </c>
      <c r="DK52" s="74" t="s">
        <v>260</v>
      </c>
      <c r="DL52" s="75" t="s">
        <v>311</v>
      </c>
      <c r="DM52" s="75" t="s">
        <v>311</v>
      </c>
      <c r="DN52" s="75" t="s">
        <v>311</v>
      </c>
      <c r="DO52" s="75"/>
      <c r="DP52" s="75" t="s">
        <v>311</v>
      </c>
      <c r="DQ52" s="74" t="s">
        <v>260</v>
      </c>
      <c r="DR52" s="75" t="s">
        <v>311</v>
      </c>
      <c r="DS52" s="74" t="s">
        <v>260</v>
      </c>
      <c r="DT52" s="75" t="s">
        <v>311</v>
      </c>
      <c r="DU52" s="75"/>
      <c r="DV52" s="74" t="s">
        <v>260</v>
      </c>
      <c r="DW52" s="74" t="s">
        <v>260</v>
      </c>
      <c r="DX52" s="75" t="s">
        <v>311</v>
      </c>
      <c r="DY52" s="75" t="s">
        <v>311</v>
      </c>
      <c r="DZ52" s="74" t="s">
        <v>260</v>
      </c>
      <c r="EA52" s="74" t="s">
        <v>260</v>
      </c>
      <c r="EB52" s="75" t="s">
        <v>311</v>
      </c>
      <c r="EC52" s="74" t="s">
        <v>260</v>
      </c>
      <c r="ED52" s="74" t="s">
        <v>260</v>
      </c>
      <c r="EE52" s="74"/>
      <c r="EF52" s="75" t="s">
        <v>311</v>
      </c>
      <c r="EG52" s="74" t="s">
        <v>260</v>
      </c>
      <c r="EH52" s="75" t="s">
        <v>311</v>
      </c>
      <c r="EI52" s="74" t="s">
        <v>260</v>
      </c>
      <c r="EJ52" s="75" t="s">
        <v>311</v>
      </c>
      <c r="EK52" s="75"/>
      <c r="EL52" s="74" t="s">
        <v>260</v>
      </c>
      <c r="EM52" s="74" t="s">
        <v>260</v>
      </c>
      <c r="EN52" s="75" t="s">
        <v>311</v>
      </c>
      <c r="EO52" s="74" t="s">
        <v>260</v>
      </c>
      <c r="EP52" s="74" t="s">
        <v>260</v>
      </c>
      <c r="EQ52" s="75"/>
      <c r="ER52" s="75" t="s">
        <v>311</v>
      </c>
      <c r="ES52" s="74" t="s">
        <v>260</v>
      </c>
      <c r="ET52" s="74" t="s">
        <v>260</v>
      </c>
      <c r="EU52" s="74" t="s">
        <v>260</v>
      </c>
      <c r="EV52" s="75" t="s">
        <v>311</v>
      </c>
      <c r="EW52" s="75" t="s">
        <v>311</v>
      </c>
      <c r="EX52" s="75" t="s">
        <v>311</v>
      </c>
      <c r="EY52" s="75"/>
      <c r="EZ52" s="75" t="s">
        <v>311</v>
      </c>
      <c r="FA52" s="74" t="s">
        <v>260</v>
      </c>
      <c r="FB52" s="74" t="s">
        <v>260</v>
      </c>
      <c r="FC52" s="75" t="s">
        <v>311</v>
      </c>
      <c r="FD52" s="75" t="s">
        <v>311</v>
      </c>
      <c r="FE52" s="75" t="s">
        <v>311</v>
      </c>
      <c r="FF52" s="75"/>
      <c r="FG52" s="80" t="s">
        <v>260</v>
      </c>
      <c r="FH52" s="81" t="s">
        <v>235</v>
      </c>
      <c r="FI52" s="80" t="s">
        <v>260</v>
      </c>
      <c r="FJ52" s="80" t="s">
        <v>260</v>
      </c>
      <c r="FK52" s="80" t="s">
        <v>260</v>
      </c>
      <c r="FL52" s="75"/>
      <c r="FM52" s="74" t="s">
        <v>260</v>
      </c>
      <c r="FN52" s="74" t="s">
        <v>260</v>
      </c>
      <c r="FO52" s="75" t="s">
        <v>311</v>
      </c>
      <c r="FP52" s="75" t="s">
        <v>311</v>
      </c>
      <c r="FQ52" s="74" t="s">
        <v>260</v>
      </c>
      <c r="FR52" s="74"/>
      <c r="FS52" s="75" t="s">
        <v>311</v>
      </c>
      <c r="FT52" s="74" t="s">
        <v>260</v>
      </c>
      <c r="FU52" s="75" t="s">
        <v>311</v>
      </c>
      <c r="FV52" s="74" t="s">
        <v>260</v>
      </c>
      <c r="FW52" s="75" t="s">
        <v>311</v>
      </c>
      <c r="FX52" s="75" t="s">
        <v>311</v>
      </c>
      <c r="FY52" s="75"/>
      <c r="FZ52" s="74" t="s">
        <v>260</v>
      </c>
      <c r="GA52" s="74"/>
      <c r="GB52" s="74" t="s">
        <v>260</v>
      </c>
      <c r="GC52" s="74" t="s">
        <v>260</v>
      </c>
      <c r="GD52" s="75" t="s">
        <v>311</v>
      </c>
      <c r="GE52" s="75" t="s">
        <v>311</v>
      </c>
      <c r="GF52" s="74" t="s">
        <v>260</v>
      </c>
      <c r="GG52" s="75"/>
      <c r="GH52" s="80" t="s">
        <v>260</v>
      </c>
      <c r="GI52" s="81" t="s">
        <v>235</v>
      </c>
      <c r="GJ52" s="80" t="s">
        <v>260</v>
      </c>
      <c r="GK52" s="80" t="s">
        <v>260</v>
      </c>
      <c r="GL52" s="80" t="s">
        <v>260</v>
      </c>
      <c r="GM52" s="80"/>
      <c r="GN52" s="80" t="s">
        <v>359</v>
      </c>
      <c r="GO52" s="74" t="s">
        <v>260</v>
      </c>
      <c r="GP52" s="74" t="s">
        <v>260</v>
      </c>
      <c r="GQ52" s="80" t="s">
        <v>359</v>
      </c>
      <c r="GR52" s="80"/>
      <c r="GS52" s="75" t="s">
        <v>311</v>
      </c>
      <c r="GT52" s="74" t="s">
        <v>260</v>
      </c>
      <c r="GU52" s="75" t="s">
        <v>311</v>
      </c>
      <c r="GV52" s="75" t="s">
        <v>311</v>
      </c>
      <c r="GW52" s="75" t="s">
        <v>311</v>
      </c>
      <c r="GX52" s="74" t="s">
        <v>260</v>
      </c>
      <c r="GY52" s="75" t="s">
        <v>311</v>
      </c>
      <c r="GZ52" s="75" t="s">
        <v>311</v>
      </c>
      <c r="HA52" s="75" t="s">
        <v>311</v>
      </c>
      <c r="HB52" s="75" t="s">
        <v>311</v>
      </c>
      <c r="HC52" s="74" t="s">
        <v>260</v>
      </c>
      <c r="HD52" s="75" t="s">
        <v>311</v>
      </c>
      <c r="HE52" s="75"/>
      <c r="HF52" s="75" t="s">
        <v>311</v>
      </c>
      <c r="HG52" s="74" t="s">
        <v>260</v>
      </c>
      <c r="HH52" s="74" t="s">
        <v>260</v>
      </c>
      <c r="HI52" s="75" t="s">
        <v>311</v>
      </c>
      <c r="HJ52" s="75" t="s">
        <v>311</v>
      </c>
      <c r="HK52" s="74" t="s">
        <v>260</v>
      </c>
      <c r="HL52" s="75" t="s">
        <v>311</v>
      </c>
      <c r="HM52" s="75"/>
      <c r="HN52" s="75" t="s">
        <v>311</v>
      </c>
      <c r="HO52" s="75" t="s">
        <v>311</v>
      </c>
      <c r="HP52" s="74" t="s">
        <v>260</v>
      </c>
      <c r="HQ52" s="74" t="s">
        <v>260</v>
      </c>
      <c r="HR52" s="75" t="s">
        <v>311</v>
      </c>
      <c r="HS52" s="75" t="s">
        <v>311</v>
      </c>
      <c r="HT52" s="75"/>
      <c r="HU52" s="75" t="s">
        <v>311</v>
      </c>
      <c r="HV52" s="74" t="s">
        <v>260</v>
      </c>
      <c r="HW52" s="75" t="s">
        <v>311</v>
      </c>
      <c r="HX52" s="75" t="s">
        <v>311</v>
      </c>
      <c r="HY52" s="75" t="s">
        <v>311</v>
      </c>
      <c r="HZ52" s="75" t="s">
        <v>311</v>
      </c>
      <c r="IA52" s="75"/>
      <c r="IB52" s="80" t="s">
        <v>260</v>
      </c>
      <c r="IC52" s="81" t="s">
        <v>235</v>
      </c>
      <c r="ID52" s="81" t="s">
        <v>235</v>
      </c>
      <c r="IE52" s="81" t="s">
        <v>235</v>
      </c>
      <c r="IF52" s="80" t="s">
        <v>260</v>
      </c>
      <c r="IG52" s="80" t="s">
        <v>260</v>
      </c>
      <c r="IH52" s="80"/>
      <c r="II52" s="74" t="s">
        <v>260</v>
      </c>
      <c r="IJ52" s="74" t="s">
        <v>260</v>
      </c>
      <c r="IK52" s="74" t="s">
        <v>260</v>
      </c>
      <c r="IL52" s="74" t="s">
        <v>260</v>
      </c>
      <c r="IM52" s="74" t="s">
        <v>260</v>
      </c>
      <c r="IN52" s="80"/>
      <c r="IO52" s="80" t="s">
        <v>359</v>
      </c>
      <c r="IP52" s="75" t="s">
        <v>323</v>
      </c>
      <c r="IQ52" s="80" t="s">
        <v>359</v>
      </c>
      <c r="IR52" s="80" t="s">
        <v>359</v>
      </c>
      <c r="IS52" s="75" t="s">
        <v>311</v>
      </c>
      <c r="IT52" s="74" t="s">
        <v>260</v>
      </c>
      <c r="IU52" s="80" t="s">
        <v>359</v>
      </c>
      <c r="IV52" s="80"/>
      <c r="IW52" s="75" t="s">
        <v>311</v>
      </c>
      <c r="IX52" s="75" t="s">
        <v>323</v>
      </c>
      <c r="IY52" s="74" t="s">
        <v>260</v>
      </c>
      <c r="IZ52" s="75" t="s">
        <v>311</v>
      </c>
      <c r="JA52" s="75" t="s">
        <v>311</v>
      </c>
      <c r="JB52" s="80"/>
      <c r="JC52" s="80" t="s">
        <v>260</v>
      </c>
      <c r="JD52" s="81" t="s">
        <v>335</v>
      </c>
      <c r="JE52" s="80" t="s">
        <v>260</v>
      </c>
      <c r="JF52" s="81" t="s">
        <v>235</v>
      </c>
      <c r="JG52" s="81" t="s">
        <v>235</v>
      </c>
      <c r="JH52" s="81" t="s">
        <v>235</v>
      </c>
      <c r="JI52" s="81" t="s">
        <v>235</v>
      </c>
      <c r="JJ52" s="80" t="s">
        <v>260</v>
      </c>
      <c r="JK52" s="80" t="s">
        <v>260</v>
      </c>
      <c r="JL52" s="80"/>
      <c r="JM52" s="75" t="s">
        <v>311</v>
      </c>
      <c r="JN52" s="74" t="s">
        <v>260</v>
      </c>
      <c r="JO52" s="75" t="s">
        <v>311</v>
      </c>
      <c r="JP52" s="80"/>
      <c r="JQ52" s="75" t="s">
        <v>311</v>
      </c>
      <c r="JR52" s="74" t="s">
        <v>260</v>
      </c>
      <c r="JS52" s="74" t="s">
        <v>260</v>
      </c>
      <c r="JT52" s="74" t="s">
        <v>260</v>
      </c>
      <c r="JU52" s="75" t="s">
        <v>311</v>
      </c>
      <c r="JV52" s="75" t="s">
        <v>311</v>
      </c>
    </row>
    <row r="53" spans="1:282" x14ac:dyDescent="0.15">
      <c r="A53" s="214" t="s">
        <v>87</v>
      </c>
      <c r="B53" s="6" t="s">
        <v>486</v>
      </c>
      <c r="C53" s="6">
        <v>115000</v>
      </c>
      <c r="D53" s="6">
        <v>2</v>
      </c>
      <c r="E53" s="6">
        <v>7</v>
      </c>
      <c r="F53" s="6">
        <v>3</v>
      </c>
      <c r="G53" s="6" t="s">
        <v>59</v>
      </c>
      <c r="H53" s="6" t="s">
        <v>36</v>
      </c>
      <c r="I53" s="6" t="s">
        <v>46</v>
      </c>
      <c r="J53" s="21" t="s">
        <v>88</v>
      </c>
      <c r="K53" s="21">
        <v>1</v>
      </c>
      <c r="L53" s="21">
        <v>1</v>
      </c>
      <c r="M53" s="21">
        <v>2</v>
      </c>
      <c r="N53" s="21">
        <v>2</v>
      </c>
      <c r="O53" s="21">
        <v>0</v>
      </c>
      <c r="P53" s="21" t="str">
        <f>IF(TeamT[[#This Row],[General]]+TeamT[[#This Row],[Agility]]+TeamT[[#This Row],[Strength]]+TeamT[[#This Row],[Passing]]+TeamT[[#This Row],[Mutation]]&gt;0,IF(TeamT[[#This Row],[General]]=1,"G","")&amp;IF(TeamT[[#This Row],[Agility]]=1,"A","")&amp;IF(TeamT[[#This Row],[Strength]]=1,"S","")&amp;IF(TeamT[[#This Row],[Passing]]=1,"P","")&amp;IF(TeamT[[#This Row],[Mutation]]=1,"M",""),"Star")</f>
        <v>GA</v>
      </c>
      <c r="Q53" s="21" t="str">
        <f>IF(TeamT[[#This Row],[General]]=2,"G","")&amp;IF(TeamT[[#This Row],[Agility]]=2,"A","")&amp;IF(TeamT[[#This Row],[Strength]]=2,"S","")&amp;IF(TeamT[[#This Row],[Passing]]=2,"P","")&amp;IF(TeamT[[#This Row],[Mutation]]=2,"M","")</f>
        <v>SP</v>
      </c>
      <c r="R53" s="212"/>
      <c r="S53" s="21">
        <v>2</v>
      </c>
      <c r="T53" s="21">
        <v>3</v>
      </c>
      <c r="U53" s="21">
        <v>9</v>
      </c>
      <c r="AA53" s="76" t="e">
        <f>HLOOKUP(Roster!$E$5,Team!$BL$2:$MK$128,52,FALSE)</f>
        <v>#N/A</v>
      </c>
      <c r="AB53" s="76" t="e">
        <f>HLOOKUP(Roster!$E$6,Team!$BL$2:$MK$128,52,FALSE)</f>
        <v>#N/A</v>
      </c>
      <c r="AC53" s="76" t="e">
        <f>HLOOKUP(Roster!$E$7,Team!$BL$2:$MK$128,52,FALSE)</f>
        <v>#N/A</v>
      </c>
      <c r="AD53" s="76" t="e">
        <f>HLOOKUP(Roster!$E$8,Team!$BL$2:$MK$128,52,FALSE)</f>
        <v>#N/A</v>
      </c>
      <c r="AE53" s="76" t="e">
        <f>HLOOKUP(Roster!$E$9,Team!$BL$2:$MK$128,52,FALSE)</f>
        <v>#N/A</v>
      </c>
      <c r="AF53" s="76" t="e">
        <f>HLOOKUP(Roster!$E$10,Team!$BL$2:$MK$128,52,FALSE)</f>
        <v>#N/A</v>
      </c>
      <c r="AG53" s="76" t="e">
        <f>HLOOKUP(Roster!$E$11,Team!$BL$2:$MK$128,52,FALSE)</f>
        <v>#N/A</v>
      </c>
      <c r="AH53" s="76" t="e">
        <f>HLOOKUP(Roster!$E$12,Team!$BL$2:$MK$128,52,FALSE)</f>
        <v>#N/A</v>
      </c>
      <c r="AI53" s="76" t="e">
        <f>HLOOKUP(Roster!$E$13,Team!$BL$2:$MK$128,52,FALSE)</f>
        <v>#N/A</v>
      </c>
      <c r="AJ53" s="76" t="e">
        <f>HLOOKUP(Roster!$E$14,Team!$BL$2:$MK$128,52,FALSE)</f>
        <v>#N/A</v>
      </c>
      <c r="AK53" s="76" t="e">
        <f>HLOOKUP(Roster!$E$15,Team!$BL$2:$MK$128,52,FALSE)</f>
        <v>#N/A</v>
      </c>
      <c r="AL53" s="76" t="e">
        <f>HLOOKUP(Roster!$E$16,Team!$BL$2:$MK$128,52,FALSE)</f>
        <v>#N/A</v>
      </c>
      <c r="AM53" s="76" t="e">
        <f>HLOOKUP(Roster!$E$17,Team!$BL$2:$MK$128,52,FALSE)</f>
        <v>#N/A</v>
      </c>
      <c r="AN53" s="76" t="e">
        <f>HLOOKUP(Roster!$E$18,Team!$BL$2:$MK$128,52,FALSE)</f>
        <v>#N/A</v>
      </c>
      <c r="AO53" s="76" t="e">
        <f>HLOOKUP(Roster!$E$19,Team!$BL$2:$MK$128,52,FALSE)</f>
        <v>#N/A</v>
      </c>
      <c r="AP53" s="76" t="e">
        <f>HLOOKUP(Roster!$E$20,Team!$BL$2:$MK$128,52,FALSE)</f>
        <v>#N/A</v>
      </c>
      <c r="AR53" s="108">
        <f t="shared" si="1"/>
        <v>0</v>
      </c>
      <c r="AS53" s="108">
        <f t="shared" si="2"/>
        <v>0</v>
      </c>
      <c r="AT53" s="108">
        <f t="shared" si="3"/>
        <v>0</v>
      </c>
      <c r="AU53" s="108">
        <f t="shared" si="4"/>
        <v>0</v>
      </c>
      <c r="AV53" s="108">
        <f t="shared" si="5"/>
        <v>0</v>
      </c>
      <c r="AW53" s="108">
        <f t="shared" si="6"/>
        <v>0</v>
      </c>
      <c r="AX53" s="108">
        <f t="shared" si="7"/>
        <v>0</v>
      </c>
      <c r="AY53" s="108">
        <f t="shared" si="8"/>
        <v>0</v>
      </c>
      <c r="AZ53" s="108">
        <f t="shared" si="9"/>
        <v>0</v>
      </c>
      <c r="BA53" s="108">
        <f t="shared" si="10"/>
        <v>0</v>
      </c>
      <c r="BB53" s="108">
        <f t="shared" si="11"/>
        <v>0</v>
      </c>
      <c r="BC53" s="108">
        <f t="shared" si="12"/>
        <v>0</v>
      </c>
      <c r="BD53" s="108">
        <f t="shared" si="13"/>
        <v>0</v>
      </c>
      <c r="BE53" s="108">
        <f t="shared" si="14"/>
        <v>0</v>
      </c>
      <c r="BF53" s="108">
        <f t="shared" si="15"/>
        <v>0</v>
      </c>
      <c r="BG53" s="108">
        <f t="shared" si="16"/>
        <v>0</v>
      </c>
      <c r="BL53" s="74" t="s">
        <v>312</v>
      </c>
      <c r="BM53" s="75" t="s">
        <v>229</v>
      </c>
      <c r="BN53" s="74" t="s">
        <v>312</v>
      </c>
      <c r="BO53" s="74" t="s">
        <v>312</v>
      </c>
      <c r="BP53" s="74" t="s">
        <v>312</v>
      </c>
      <c r="BQ53" s="75"/>
      <c r="BR53" s="75" t="s">
        <v>229</v>
      </c>
      <c r="BS53" s="75" t="s">
        <v>229</v>
      </c>
      <c r="BT53" s="75" t="s">
        <v>229</v>
      </c>
      <c r="BU53" s="75" t="s">
        <v>229</v>
      </c>
      <c r="BV53" s="75"/>
      <c r="BW53" s="81" t="s">
        <v>236</v>
      </c>
      <c r="BX53" s="81" t="s">
        <v>229</v>
      </c>
      <c r="BY53" s="81" t="s">
        <v>229</v>
      </c>
      <c r="BZ53" s="81" t="s">
        <v>229</v>
      </c>
      <c r="CA53" s="81" t="s">
        <v>229</v>
      </c>
      <c r="CB53" s="81" t="s">
        <v>236</v>
      </c>
      <c r="CC53" s="77"/>
      <c r="CD53" s="74" t="s">
        <v>312</v>
      </c>
      <c r="CE53" s="81" t="s">
        <v>229</v>
      </c>
      <c r="CF53" s="74" t="s">
        <v>312</v>
      </c>
      <c r="CG53" s="81" t="s">
        <v>229</v>
      </c>
      <c r="CH53" s="74" t="s">
        <v>312</v>
      </c>
      <c r="CI53" s="77"/>
      <c r="CJ53" s="81" t="s">
        <v>229</v>
      </c>
      <c r="CK53" s="81" t="s">
        <v>236</v>
      </c>
      <c r="CL53" s="81" t="s">
        <v>229</v>
      </c>
      <c r="CM53" s="81" t="s">
        <v>229</v>
      </c>
      <c r="CN53" s="81" t="s">
        <v>229</v>
      </c>
      <c r="CO53" s="81" t="s">
        <v>236</v>
      </c>
      <c r="CP53" s="81" t="s">
        <v>229</v>
      </c>
      <c r="CQ53" s="81" t="s">
        <v>229</v>
      </c>
      <c r="CR53" s="81" t="s">
        <v>229</v>
      </c>
      <c r="CS53" s="81" t="s">
        <v>229</v>
      </c>
      <c r="CT53" s="81" t="s">
        <v>229</v>
      </c>
      <c r="CU53" s="81"/>
      <c r="CV53" s="75" t="s">
        <v>229</v>
      </c>
      <c r="CW53" s="75" t="s">
        <v>229</v>
      </c>
      <c r="CX53" s="75" t="s">
        <v>229</v>
      </c>
      <c r="CY53" s="75" t="s">
        <v>229</v>
      </c>
      <c r="CZ53" s="75" t="s">
        <v>229</v>
      </c>
      <c r="DA53" s="81"/>
      <c r="DB53" s="74" t="s">
        <v>312</v>
      </c>
      <c r="DC53" s="75" t="s">
        <v>229</v>
      </c>
      <c r="DD53" s="75" t="s">
        <v>229</v>
      </c>
      <c r="DE53" s="75" t="s">
        <v>229</v>
      </c>
      <c r="DF53" s="75" t="s">
        <v>229</v>
      </c>
      <c r="DG53" s="74" t="s">
        <v>312</v>
      </c>
      <c r="DH53" s="74"/>
      <c r="DI53" s="74" t="s">
        <v>312</v>
      </c>
      <c r="DJ53" s="75" t="s">
        <v>229</v>
      </c>
      <c r="DK53" s="75" t="s">
        <v>229</v>
      </c>
      <c r="DL53" s="74" t="s">
        <v>312</v>
      </c>
      <c r="DM53" s="74" t="s">
        <v>312</v>
      </c>
      <c r="DN53" s="74" t="s">
        <v>312</v>
      </c>
      <c r="DO53" s="74"/>
      <c r="DP53" s="74" t="s">
        <v>312</v>
      </c>
      <c r="DQ53" s="75" t="s">
        <v>229</v>
      </c>
      <c r="DR53" s="74" t="s">
        <v>312</v>
      </c>
      <c r="DS53" s="75" t="s">
        <v>229</v>
      </c>
      <c r="DT53" s="74" t="s">
        <v>312</v>
      </c>
      <c r="DU53" s="74"/>
      <c r="DV53" s="75" t="s">
        <v>229</v>
      </c>
      <c r="DW53" s="75" t="s">
        <v>229</v>
      </c>
      <c r="DX53" s="74" t="s">
        <v>312</v>
      </c>
      <c r="DY53" s="74" t="s">
        <v>312</v>
      </c>
      <c r="DZ53" s="75" t="s">
        <v>229</v>
      </c>
      <c r="EA53" s="75" t="s">
        <v>229</v>
      </c>
      <c r="EB53" s="74" t="s">
        <v>312</v>
      </c>
      <c r="EC53" s="75" t="s">
        <v>229</v>
      </c>
      <c r="ED53" s="75" t="s">
        <v>229</v>
      </c>
      <c r="EE53" s="75"/>
      <c r="EF53" s="74" t="s">
        <v>312</v>
      </c>
      <c r="EG53" s="75" t="s">
        <v>229</v>
      </c>
      <c r="EH53" s="74" t="s">
        <v>312</v>
      </c>
      <c r="EI53" s="75" t="s">
        <v>229</v>
      </c>
      <c r="EJ53" s="74" t="s">
        <v>312</v>
      </c>
      <c r="EK53" s="74"/>
      <c r="EL53" s="75" t="s">
        <v>229</v>
      </c>
      <c r="EM53" s="75" t="s">
        <v>229</v>
      </c>
      <c r="EN53" s="74" t="s">
        <v>312</v>
      </c>
      <c r="EO53" s="75" t="s">
        <v>229</v>
      </c>
      <c r="EP53" s="75" t="s">
        <v>229</v>
      </c>
      <c r="EQ53" s="74"/>
      <c r="ER53" s="74" t="s">
        <v>312</v>
      </c>
      <c r="ES53" s="75" t="s">
        <v>229</v>
      </c>
      <c r="ET53" s="75" t="s">
        <v>229</v>
      </c>
      <c r="EU53" s="75" t="s">
        <v>229</v>
      </c>
      <c r="EV53" s="74" t="s">
        <v>312</v>
      </c>
      <c r="EW53" s="74" t="s">
        <v>312</v>
      </c>
      <c r="EX53" s="74" t="s">
        <v>312</v>
      </c>
      <c r="EY53" s="74"/>
      <c r="EZ53" s="74" t="s">
        <v>312</v>
      </c>
      <c r="FA53" s="75" t="s">
        <v>229</v>
      </c>
      <c r="FB53" s="75" t="s">
        <v>229</v>
      </c>
      <c r="FC53" s="74" t="s">
        <v>312</v>
      </c>
      <c r="FD53" s="74" t="s">
        <v>312</v>
      </c>
      <c r="FE53" s="74" t="s">
        <v>312</v>
      </c>
      <c r="FF53" s="74"/>
      <c r="FG53" s="81" t="s">
        <v>229</v>
      </c>
      <c r="FH53" s="81" t="s">
        <v>236</v>
      </c>
      <c r="FI53" s="81" t="s">
        <v>229</v>
      </c>
      <c r="FJ53" s="81" t="s">
        <v>229</v>
      </c>
      <c r="FK53" s="81" t="s">
        <v>229</v>
      </c>
      <c r="FL53" s="74"/>
      <c r="FM53" s="75" t="s">
        <v>229</v>
      </c>
      <c r="FN53" s="75" t="s">
        <v>229</v>
      </c>
      <c r="FO53" s="74" t="s">
        <v>312</v>
      </c>
      <c r="FP53" s="74" t="s">
        <v>312</v>
      </c>
      <c r="FQ53" s="75" t="s">
        <v>229</v>
      </c>
      <c r="FR53" s="75"/>
      <c r="FS53" s="74" t="s">
        <v>312</v>
      </c>
      <c r="FT53" s="75" t="s">
        <v>229</v>
      </c>
      <c r="FU53" s="74" t="s">
        <v>312</v>
      </c>
      <c r="FV53" s="75" t="s">
        <v>229</v>
      </c>
      <c r="FW53" s="74" t="s">
        <v>312</v>
      </c>
      <c r="FX53" s="74" t="s">
        <v>312</v>
      </c>
      <c r="FY53" s="74"/>
      <c r="FZ53" s="75" t="s">
        <v>229</v>
      </c>
      <c r="GA53" s="75"/>
      <c r="GB53" s="75" t="s">
        <v>229</v>
      </c>
      <c r="GC53" s="75" t="s">
        <v>229</v>
      </c>
      <c r="GD53" s="74" t="s">
        <v>312</v>
      </c>
      <c r="GE53" s="74" t="s">
        <v>312</v>
      </c>
      <c r="GF53" s="75" t="s">
        <v>229</v>
      </c>
      <c r="GG53" s="74"/>
      <c r="GH53" s="81" t="s">
        <v>229</v>
      </c>
      <c r="GI53" s="81" t="s">
        <v>236</v>
      </c>
      <c r="GJ53" s="81" t="s">
        <v>229</v>
      </c>
      <c r="GK53" s="81" t="s">
        <v>229</v>
      </c>
      <c r="GL53" s="81" t="s">
        <v>229</v>
      </c>
      <c r="GM53" s="81"/>
      <c r="GN53" s="81" t="s">
        <v>360</v>
      </c>
      <c r="GO53" s="75" t="s">
        <v>229</v>
      </c>
      <c r="GP53" s="75" t="s">
        <v>229</v>
      </c>
      <c r="GQ53" s="81" t="s">
        <v>360</v>
      </c>
      <c r="GR53" s="81"/>
      <c r="GS53" s="74" t="s">
        <v>312</v>
      </c>
      <c r="GT53" s="75" t="s">
        <v>229</v>
      </c>
      <c r="GU53" s="74" t="s">
        <v>312</v>
      </c>
      <c r="GV53" s="74" t="s">
        <v>312</v>
      </c>
      <c r="GW53" s="74" t="s">
        <v>312</v>
      </c>
      <c r="GX53" s="75" t="s">
        <v>229</v>
      </c>
      <c r="GY53" s="74" t="s">
        <v>312</v>
      </c>
      <c r="GZ53" s="74" t="s">
        <v>312</v>
      </c>
      <c r="HA53" s="74" t="s">
        <v>312</v>
      </c>
      <c r="HB53" s="74" t="s">
        <v>312</v>
      </c>
      <c r="HC53" s="75" t="s">
        <v>229</v>
      </c>
      <c r="HD53" s="74" t="s">
        <v>312</v>
      </c>
      <c r="HE53" s="74"/>
      <c r="HF53" s="74" t="s">
        <v>312</v>
      </c>
      <c r="HG53" s="75" t="s">
        <v>229</v>
      </c>
      <c r="HH53" s="75" t="s">
        <v>229</v>
      </c>
      <c r="HI53" s="74" t="s">
        <v>312</v>
      </c>
      <c r="HJ53" s="74" t="s">
        <v>312</v>
      </c>
      <c r="HK53" s="75" t="s">
        <v>229</v>
      </c>
      <c r="HL53" s="74" t="s">
        <v>312</v>
      </c>
      <c r="HM53" s="74"/>
      <c r="HN53" s="74" t="s">
        <v>312</v>
      </c>
      <c r="HO53" s="74" t="s">
        <v>312</v>
      </c>
      <c r="HP53" s="75" t="s">
        <v>229</v>
      </c>
      <c r="HQ53" s="75" t="s">
        <v>229</v>
      </c>
      <c r="HR53" s="74" t="s">
        <v>312</v>
      </c>
      <c r="HS53" s="74" t="s">
        <v>312</v>
      </c>
      <c r="HT53" s="74"/>
      <c r="HU53" s="74" t="s">
        <v>312</v>
      </c>
      <c r="HV53" s="75" t="s">
        <v>229</v>
      </c>
      <c r="HW53" s="74" t="s">
        <v>312</v>
      </c>
      <c r="HX53" s="74" t="s">
        <v>312</v>
      </c>
      <c r="HY53" s="74" t="s">
        <v>312</v>
      </c>
      <c r="HZ53" s="74" t="s">
        <v>312</v>
      </c>
      <c r="IA53" s="74"/>
      <c r="IB53" s="81" t="s">
        <v>229</v>
      </c>
      <c r="IC53" s="81" t="s">
        <v>236</v>
      </c>
      <c r="ID53" s="81" t="s">
        <v>236</v>
      </c>
      <c r="IE53" s="81" t="s">
        <v>236</v>
      </c>
      <c r="IF53" s="81" t="s">
        <v>229</v>
      </c>
      <c r="IG53" s="81" t="s">
        <v>229</v>
      </c>
      <c r="IH53" s="81"/>
      <c r="II53" s="75" t="s">
        <v>229</v>
      </c>
      <c r="IJ53" s="75" t="s">
        <v>229</v>
      </c>
      <c r="IK53" s="75" t="s">
        <v>229</v>
      </c>
      <c r="IL53" s="75" t="s">
        <v>229</v>
      </c>
      <c r="IM53" s="75" t="s">
        <v>229</v>
      </c>
      <c r="IN53" s="81"/>
      <c r="IO53" s="81" t="s">
        <v>360</v>
      </c>
      <c r="IP53" s="74" t="s">
        <v>324</v>
      </c>
      <c r="IQ53" s="81" t="s">
        <v>360</v>
      </c>
      <c r="IR53" s="81" t="s">
        <v>360</v>
      </c>
      <c r="IS53" s="74" t="s">
        <v>312</v>
      </c>
      <c r="IT53" s="75" t="s">
        <v>229</v>
      </c>
      <c r="IU53" s="81" t="s">
        <v>360</v>
      </c>
      <c r="IV53" s="81"/>
      <c r="IW53" s="74" t="s">
        <v>312</v>
      </c>
      <c r="IX53" s="74" t="s">
        <v>324</v>
      </c>
      <c r="IY53" s="75" t="s">
        <v>229</v>
      </c>
      <c r="IZ53" s="74" t="s">
        <v>312</v>
      </c>
      <c r="JA53" s="74" t="s">
        <v>312</v>
      </c>
      <c r="JB53" s="81"/>
      <c r="JC53" s="81" t="s">
        <v>229</v>
      </c>
      <c r="JD53" s="81" t="s">
        <v>336</v>
      </c>
      <c r="JE53" s="81" t="s">
        <v>229</v>
      </c>
      <c r="JF53" s="81" t="s">
        <v>236</v>
      </c>
      <c r="JG53" s="81" t="s">
        <v>236</v>
      </c>
      <c r="JH53" s="81" t="s">
        <v>236</v>
      </c>
      <c r="JI53" s="81" t="s">
        <v>236</v>
      </c>
      <c r="JJ53" s="81" t="s">
        <v>229</v>
      </c>
      <c r="JK53" s="81" t="s">
        <v>229</v>
      </c>
      <c r="JL53" s="81"/>
      <c r="JM53" s="74" t="s">
        <v>312</v>
      </c>
      <c r="JN53" s="75" t="s">
        <v>229</v>
      </c>
      <c r="JO53" s="74" t="s">
        <v>312</v>
      </c>
      <c r="JP53" s="81"/>
      <c r="JQ53" s="74" t="s">
        <v>312</v>
      </c>
      <c r="JR53" s="75" t="s">
        <v>229</v>
      </c>
      <c r="JS53" s="75" t="s">
        <v>229</v>
      </c>
      <c r="JT53" s="75" t="s">
        <v>229</v>
      </c>
      <c r="JU53" s="74" t="s">
        <v>312</v>
      </c>
      <c r="JV53" s="74" t="s">
        <v>312</v>
      </c>
    </row>
    <row r="54" spans="1:282" x14ac:dyDescent="0.15">
      <c r="A54" s="214" t="s">
        <v>543</v>
      </c>
      <c r="B54" s="6" t="s">
        <v>486</v>
      </c>
      <c r="C54" s="6">
        <v>60000</v>
      </c>
      <c r="D54" s="6">
        <v>11</v>
      </c>
      <c r="E54" s="6">
        <v>6</v>
      </c>
      <c r="F54" s="6">
        <v>3</v>
      </c>
      <c r="G54" s="6" t="s">
        <v>59</v>
      </c>
      <c r="H54" s="6" t="s">
        <v>37</v>
      </c>
      <c r="I54" s="6" t="s">
        <v>38</v>
      </c>
      <c r="J54" s="21" t="s">
        <v>65</v>
      </c>
      <c r="K54" s="21">
        <v>1</v>
      </c>
      <c r="L54" s="21">
        <v>1</v>
      </c>
      <c r="M54" s="21">
        <v>2</v>
      </c>
      <c r="N54" s="21">
        <v>0</v>
      </c>
      <c r="O54" s="21">
        <v>0</v>
      </c>
      <c r="P54" s="21" t="str">
        <f>IF(TeamT[[#This Row],[General]]+TeamT[[#This Row],[Agility]]+TeamT[[#This Row],[Strength]]+TeamT[[#This Row],[Passing]]+TeamT[[#This Row],[Mutation]]&gt;0,IF(TeamT[[#This Row],[General]]=1,"G","")&amp;IF(TeamT[[#This Row],[Agility]]=1,"A","")&amp;IF(TeamT[[#This Row],[Strength]]=1,"S","")&amp;IF(TeamT[[#This Row],[Passing]]=1,"P","")&amp;IF(TeamT[[#This Row],[Mutation]]=1,"M",""),"Star")</f>
        <v>GA</v>
      </c>
      <c r="Q54" s="21" t="str">
        <f>IF(TeamT[[#This Row],[General]]=2,"G","")&amp;IF(TeamT[[#This Row],[Agility]]=2,"A","")&amp;IF(TeamT[[#This Row],[Strength]]=2,"S","")&amp;IF(TeamT[[#This Row],[Passing]]=2,"P","")&amp;IF(TeamT[[#This Row],[Mutation]]=2,"M","")</f>
        <v>S</v>
      </c>
      <c r="R54" s="212"/>
      <c r="S54" s="21">
        <v>2</v>
      </c>
      <c r="T54" s="21">
        <v>4</v>
      </c>
      <c r="U54" s="21">
        <v>8</v>
      </c>
      <c r="AA54" s="76" t="e">
        <f>HLOOKUP(Roster!$E$5,Team!$BL$2:$MK$128,53,FALSE)</f>
        <v>#N/A</v>
      </c>
      <c r="AB54" s="76" t="e">
        <f>HLOOKUP(Roster!$E$6,Team!$BL$2:$MK$128,53,FALSE)</f>
        <v>#N/A</v>
      </c>
      <c r="AC54" s="76" t="e">
        <f>HLOOKUP(Roster!$E$7,Team!$BL$2:$MK$128,53,FALSE)</f>
        <v>#N/A</v>
      </c>
      <c r="AD54" s="76" t="e">
        <f>HLOOKUP(Roster!$E$8,Team!$BL$2:$MK$128,53,FALSE)</f>
        <v>#N/A</v>
      </c>
      <c r="AE54" s="76" t="e">
        <f>HLOOKUP(Roster!$E$9,Team!$BL$2:$MK$128,53,FALSE)</f>
        <v>#N/A</v>
      </c>
      <c r="AF54" s="76" t="e">
        <f>HLOOKUP(Roster!$E$10,Team!$BL$2:$MK$128,53,FALSE)</f>
        <v>#N/A</v>
      </c>
      <c r="AG54" s="76" t="e">
        <f>HLOOKUP(Roster!$E$11,Team!$BL$2:$MK$128,53,FALSE)</f>
        <v>#N/A</v>
      </c>
      <c r="AH54" s="76" t="e">
        <f>HLOOKUP(Roster!$E$12,Team!$BL$2:$MK$128,53,FALSE)</f>
        <v>#N/A</v>
      </c>
      <c r="AI54" s="76" t="e">
        <f>HLOOKUP(Roster!$E$13,Team!$BL$2:$MK$128,53,FALSE)</f>
        <v>#N/A</v>
      </c>
      <c r="AJ54" s="76" t="e">
        <f>HLOOKUP(Roster!$E$14,Team!$BL$2:$MK$128,53,FALSE)</f>
        <v>#N/A</v>
      </c>
      <c r="AK54" s="76" t="e">
        <f>HLOOKUP(Roster!$E$15,Team!$BL$2:$MK$128,53,FALSE)</f>
        <v>#N/A</v>
      </c>
      <c r="AL54" s="76" t="e">
        <f>HLOOKUP(Roster!$E$16,Team!$BL$2:$MK$128,53,FALSE)</f>
        <v>#N/A</v>
      </c>
      <c r="AM54" s="76" t="e">
        <f>HLOOKUP(Roster!$E$17,Team!$BL$2:$MK$128,53,FALSE)</f>
        <v>#N/A</v>
      </c>
      <c r="AN54" s="76" t="e">
        <f>HLOOKUP(Roster!$E$18,Team!$BL$2:$MK$128,53,FALSE)</f>
        <v>#N/A</v>
      </c>
      <c r="AO54" s="76" t="e">
        <f>HLOOKUP(Roster!$E$19,Team!$BL$2:$MK$128,53,FALSE)</f>
        <v>#N/A</v>
      </c>
      <c r="AP54" s="76" t="e">
        <f>HLOOKUP(Roster!$E$20,Team!$BL$2:$MK$128,53,FALSE)</f>
        <v>#N/A</v>
      </c>
      <c r="AR54" s="108">
        <f t="shared" si="1"/>
        <v>0</v>
      </c>
      <c r="AS54" s="108">
        <f t="shared" si="2"/>
        <v>0</v>
      </c>
      <c r="AT54" s="108">
        <f t="shared" si="3"/>
        <v>0</v>
      </c>
      <c r="AU54" s="108">
        <f t="shared" si="4"/>
        <v>0</v>
      </c>
      <c r="AV54" s="108">
        <f t="shared" si="5"/>
        <v>0</v>
      </c>
      <c r="AW54" s="108">
        <f t="shared" si="6"/>
        <v>0</v>
      </c>
      <c r="AX54" s="108">
        <f t="shared" si="7"/>
        <v>0</v>
      </c>
      <c r="AY54" s="108">
        <f t="shared" si="8"/>
        <v>0</v>
      </c>
      <c r="AZ54" s="108">
        <f t="shared" si="9"/>
        <v>0</v>
      </c>
      <c r="BA54" s="108">
        <f t="shared" si="10"/>
        <v>0</v>
      </c>
      <c r="BB54" s="108">
        <f t="shared" si="11"/>
        <v>0</v>
      </c>
      <c r="BC54" s="108">
        <f t="shared" si="12"/>
        <v>0</v>
      </c>
      <c r="BD54" s="108">
        <f t="shared" si="13"/>
        <v>0</v>
      </c>
      <c r="BE54" s="108">
        <f t="shared" si="14"/>
        <v>0</v>
      </c>
      <c r="BF54" s="108">
        <f t="shared" si="15"/>
        <v>0</v>
      </c>
      <c r="BG54" s="108">
        <f t="shared" si="16"/>
        <v>0</v>
      </c>
      <c r="BL54" s="75" t="s">
        <v>313</v>
      </c>
      <c r="BM54" s="74" t="s">
        <v>261</v>
      </c>
      <c r="BN54" s="75" t="s">
        <v>313</v>
      </c>
      <c r="BO54" s="75" t="s">
        <v>313</v>
      </c>
      <c r="BP54" s="75" t="s">
        <v>313</v>
      </c>
      <c r="BQ54" s="74"/>
      <c r="BR54" s="74" t="s">
        <v>261</v>
      </c>
      <c r="BS54" s="74" t="s">
        <v>261</v>
      </c>
      <c r="BT54" s="74" t="s">
        <v>261</v>
      </c>
      <c r="BU54" s="74" t="s">
        <v>261</v>
      </c>
      <c r="BV54" s="74"/>
      <c r="BW54" s="81" t="s">
        <v>237</v>
      </c>
      <c r="BX54" s="80" t="s">
        <v>261</v>
      </c>
      <c r="BY54" s="80" t="s">
        <v>261</v>
      </c>
      <c r="BZ54" s="80" t="s">
        <v>261</v>
      </c>
      <c r="CA54" s="80" t="s">
        <v>261</v>
      </c>
      <c r="CB54" s="81" t="s">
        <v>237</v>
      </c>
      <c r="CC54" s="77"/>
      <c r="CD54" s="75" t="s">
        <v>313</v>
      </c>
      <c r="CE54" s="80" t="s">
        <v>261</v>
      </c>
      <c r="CF54" s="75" t="s">
        <v>313</v>
      </c>
      <c r="CG54" s="80" t="s">
        <v>261</v>
      </c>
      <c r="CH54" s="75" t="s">
        <v>313</v>
      </c>
      <c r="CI54" s="77"/>
      <c r="CJ54" s="80" t="s">
        <v>261</v>
      </c>
      <c r="CK54" s="81" t="s">
        <v>237</v>
      </c>
      <c r="CL54" s="80" t="s">
        <v>261</v>
      </c>
      <c r="CM54" s="80" t="s">
        <v>261</v>
      </c>
      <c r="CN54" s="80" t="s">
        <v>261</v>
      </c>
      <c r="CO54" s="81" t="s">
        <v>237</v>
      </c>
      <c r="CP54" s="80" t="s">
        <v>261</v>
      </c>
      <c r="CQ54" s="80" t="s">
        <v>261</v>
      </c>
      <c r="CR54" s="80" t="s">
        <v>261</v>
      </c>
      <c r="CS54" s="80" t="s">
        <v>261</v>
      </c>
      <c r="CT54" s="80" t="s">
        <v>261</v>
      </c>
      <c r="CU54" s="80"/>
      <c r="CV54" s="74" t="s">
        <v>261</v>
      </c>
      <c r="CW54" s="74" t="s">
        <v>261</v>
      </c>
      <c r="CX54" s="74" t="s">
        <v>261</v>
      </c>
      <c r="CY54" s="74" t="s">
        <v>261</v>
      </c>
      <c r="CZ54" s="74" t="s">
        <v>261</v>
      </c>
      <c r="DA54" s="80"/>
      <c r="DB54" s="75" t="s">
        <v>313</v>
      </c>
      <c r="DC54" s="74" t="s">
        <v>261</v>
      </c>
      <c r="DD54" s="74" t="s">
        <v>261</v>
      </c>
      <c r="DE54" s="74" t="s">
        <v>261</v>
      </c>
      <c r="DF54" s="74" t="s">
        <v>261</v>
      </c>
      <c r="DG54" s="75" t="s">
        <v>313</v>
      </c>
      <c r="DH54" s="75"/>
      <c r="DI54" s="75" t="s">
        <v>313</v>
      </c>
      <c r="DJ54" s="74" t="s">
        <v>261</v>
      </c>
      <c r="DK54" s="74" t="s">
        <v>261</v>
      </c>
      <c r="DL54" s="75" t="s">
        <v>313</v>
      </c>
      <c r="DM54" s="75" t="s">
        <v>313</v>
      </c>
      <c r="DN54" s="75" t="s">
        <v>313</v>
      </c>
      <c r="DO54" s="75"/>
      <c r="DP54" s="75" t="s">
        <v>313</v>
      </c>
      <c r="DQ54" s="74" t="s">
        <v>261</v>
      </c>
      <c r="DR54" s="75" t="s">
        <v>313</v>
      </c>
      <c r="DS54" s="74" t="s">
        <v>261</v>
      </c>
      <c r="DT54" s="75" t="s">
        <v>313</v>
      </c>
      <c r="DU54" s="75"/>
      <c r="DV54" s="74" t="s">
        <v>261</v>
      </c>
      <c r="DW54" s="74" t="s">
        <v>261</v>
      </c>
      <c r="DX54" s="75" t="s">
        <v>313</v>
      </c>
      <c r="DY54" s="75" t="s">
        <v>313</v>
      </c>
      <c r="DZ54" s="74" t="s">
        <v>261</v>
      </c>
      <c r="EA54" s="74" t="s">
        <v>261</v>
      </c>
      <c r="EB54" s="75" t="s">
        <v>313</v>
      </c>
      <c r="EC54" s="74" t="s">
        <v>261</v>
      </c>
      <c r="ED54" s="74" t="s">
        <v>261</v>
      </c>
      <c r="EE54" s="74"/>
      <c r="EF54" s="75" t="s">
        <v>313</v>
      </c>
      <c r="EG54" s="74" t="s">
        <v>261</v>
      </c>
      <c r="EH54" s="75" t="s">
        <v>313</v>
      </c>
      <c r="EI54" s="74" t="s">
        <v>261</v>
      </c>
      <c r="EJ54" s="75" t="s">
        <v>313</v>
      </c>
      <c r="EK54" s="75"/>
      <c r="EL54" s="74" t="s">
        <v>261</v>
      </c>
      <c r="EM54" s="74" t="s">
        <v>261</v>
      </c>
      <c r="EN54" s="75" t="s">
        <v>313</v>
      </c>
      <c r="EO54" s="74" t="s">
        <v>261</v>
      </c>
      <c r="EP54" s="74" t="s">
        <v>261</v>
      </c>
      <c r="EQ54" s="75"/>
      <c r="ER54" s="75" t="s">
        <v>313</v>
      </c>
      <c r="ES54" s="74" t="s">
        <v>261</v>
      </c>
      <c r="ET54" s="74" t="s">
        <v>261</v>
      </c>
      <c r="EU54" s="74" t="s">
        <v>261</v>
      </c>
      <c r="EV54" s="75" t="s">
        <v>313</v>
      </c>
      <c r="EW54" s="75" t="s">
        <v>313</v>
      </c>
      <c r="EX54" s="75" t="s">
        <v>313</v>
      </c>
      <c r="EY54" s="75"/>
      <c r="EZ54" s="75" t="s">
        <v>313</v>
      </c>
      <c r="FA54" s="74" t="s">
        <v>261</v>
      </c>
      <c r="FB54" s="74" t="s">
        <v>261</v>
      </c>
      <c r="FC54" s="75" t="s">
        <v>313</v>
      </c>
      <c r="FD54" s="75" t="s">
        <v>313</v>
      </c>
      <c r="FE54" s="75" t="s">
        <v>313</v>
      </c>
      <c r="FF54" s="75"/>
      <c r="FG54" s="80" t="s">
        <v>261</v>
      </c>
      <c r="FH54" s="81" t="s">
        <v>237</v>
      </c>
      <c r="FI54" s="80" t="s">
        <v>261</v>
      </c>
      <c r="FJ54" s="80" t="s">
        <v>261</v>
      </c>
      <c r="FK54" s="80" t="s">
        <v>261</v>
      </c>
      <c r="FL54" s="75"/>
      <c r="FM54" s="74" t="s">
        <v>261</v>
      </c>
      <c r="FN54" s="74" t="s">
        <v>261</v>
      </c>
      <c r="FO54" s="75" t="s">
        <v>313</v>
      </c>
      <c r="FP54" s="75" t="s">
        <v>313</v>
      </c>
      <c r="FQ54" s="74" t="s">
        <v>261</v>
      </c>
      <c r="FR54" s="74"/>
      <c r="FS54" s="75" t="s">
        <v>313</v>
      </c>
      <c r="FT54" s="74" t="s">
        <v>261</v>
      </c>
      <c r="FU54" s="75" t="s">
        <v>313</v>
      </c>
      <c r="FV54" s="74" t="s">
        <v>261</v>
      </c>
      <c r="FW54" s="75" t="s">
        <v>313</v>
      </c>
      <c r="FX54" s="75" t="s">
        <v>313</v>
      </c>
      <c r="FY54" s="75"/>
      <c r="FZ54" s="74" t="s">
        <v>261</v>
      </c>
      <c r="GA54" s="74"/>
      <c r="GB54" s="74" t="s">
        <v>261</v>
      </c>
      <c r="GC54" s="74" t="s">
        <v>261</v>
      </c>
      <c r="GD54" s="75" t="s">
        <v>313</v>
      </c>
      <c r="GE54" s="75" t="s">
        <v>313</v>
      </c>
      <c r="GF54" s="74" t="s">
        <v>261</v>
      </c>
      <c r="GG54" s="75"/>
      <c r="GH54" s="80" t="s">
        <v>261</v>
      </c>
      <c r="GI54" s="81" t="s">
        <v>237</v>
      </c>
      <c r="GJ54" s="80" t="s">
        <v>261</v>
      </c>
      <c r="GK54" s="80" t="s">
        <v>261</v>
      </c>
      <c r="GL54" s="80" t="s">
        <v>261</v>
      </c>
      <c r="GM54" s="80"/>
      <c r="GN54" s="80" t="s">
        <v>361</v>
      </c>
      <c r="GO54" s="74" t="s">
        <v>261</v>
      </c>
      <c r="GP54" s="74" t="s">
        <v>261</v>
      </c>
      <c r="GQ54" s="80" t="s">
        <v>361</v>
      </c>
      <c r="GR54" s="80"/>
      <c r="GS54" s="75" t="s">
        <v>313</v>
      </c>
      <c r="GT54" s="74" t="s">
        <v>261</v>
      </c>
      <c r="GU54" s="75" t="s">
        <v>313</v>
      </c>
      <c r="GV54" s="75" t="s">
        <v>313</v>
      </c>
      <c r="GW54" s="75" t="s">
        <v>313</v>
      </c>
      <c r="GX54" s="74" t="s">
        <v>261</v>
      </c>
      <c r="GY54" s="75" t="s">
        <v>313</v>
      </c>
      <c r="GZ54" s="75" t="s">
        <v>313</v>
      </c>
      <c r="HA54" s="75" t="s">
        <v>313</v>
      </c>
      <c r="HB54" s="75" t="s">
        <v>313</v>
      </c>
      <c r="HC54" s="74" t="s">
        <v>261</v>
      </c>
      <c r="HD54" s="75" t="s">
        <v>313</v>
      </c>
      <c r="HE54" s="75"/>
      <c r="HF54" s="75" t="s">
        <v>313</v>
      </c>
      <c r="HG54" s="74" t="s">
        <v>261</v>
      </c>
      <c r="HH54" s="74" t="s">
        <v>261</v>
      </c>
      <c r="HI54" s="75" t="s">
        <v>313</v>
      </c>
      <c r="HJ54" s="75" t="s">
        <v>313</v>
      </c>
      <c r="HK54" s="74" t="s">
        <v>261</v>
      </c>
      <c r="HL54" s="75" t="s">
        <v>313</v>
      </c>
      <c r="HM54" s="75"/>
      <c r="HN54" s="75" t="s">
        <v>313</v>
      </c>
      <c r="HO54" s="75" t="s">
        <v>313</v>
      </c>
      <c r="HP54" s="74" t="s">
        <v>261</v>
      </c>
      <c r="HQ54" s="74" t="s">
        <v>261</v>
      </c>
      <c r="HR54" s="75" t="s">
        <v>313</v>
      </c>
      <c r="HS54" s="75" t="s">
        <v>313</v>
      </c>
      <c r="HT54" s="75"/>
      <c r="HU54" s="75" t="s">
        <v>313</v>
      </c>
      <c r="HV54" s="74" t="s">
        <v>261</v>
      </c>
      <c r="HW54" s="75" t="s">
        <v>313</v>
      </c>
      <c r="HX54" s="75" t="s">
        <v>313</v>
      </c>
      <c r="HY54" s="75" t="s">
        <v>313</v>
      </c>
      <c r="HZ54" s="75" t="s">
        <v>313</v>
      </c>
      <c r="IA54" s="75"/>
      <c r="IB54" s="80" t="s">
        <v>261</v>
      </c>
      <c r="IC54" s="81" t="s">
        <v>237</v>
      </c>
      <c r="ID54" s="81" t="s">
        <v>237</v>
      </c>
      <c r="IE54" s="81" t="s">
        <v>237</v>
      </c>
      <c r="IF54" s="80" t="s">
        <v>261</v>
      </c>
      <c r="IG54" s="80" t="s">
        <v>261</v>
      </c>
      <c r="IH54" s="80"/>
      <c r="II54" s="74" t="s">
        <v>261</v>
      </c>
      <c r="IJ54" s="74" t="s">
        <v>261</v>
      </c>
      <c r="IK54" s="74" t="s">
        <v>261</v>
      </c>
      <c r="IL54" s="74" t="s">
        <v>261</v>
      </c>
      <c r="IM54" s="74" t="s">
        <v>261</v>
      </c>
      <c r="IN54" s="80"/>
      <c r="IO54" s="80" t="s">
        <v>361</v>
      </c>
      <c r="IP54" s="75" t="s">
        <v>325</v>
      </c>
      <c r="IQ54" s="80" t="s">
        <v>361</v>
      </c>
      <c r="IR54" s="80" t="s">
        <v>361</v>
      </c>
      <c r="IS54" s="75" t="s">
        <v>313</v>
      </c>
      <c r="IT54" s="74" t="s">
        <v>261</v>
      </c>
      <c r="IU54" s="80" t="s">
        <v>361</v>
      </c>
      <c r="IV54" s="80"/>
      <c r="IW54" s="75" t="s">
        <v>313</v>
      </c>
      <c r="IX54" s="75" t="s">
        <v>325</v>
      </c>
      <c r="IY54" s="74" t="s">
        <v>261</v>
      </c>
      <c r="IZ54" s="75" t="s">
        <v>313</v>
      </c>
      <c r="JA54" s="75" t="s">
        <v>313</v>
      </c>
      <c r="JB54" s="80"/>
      <c r="JC54" s="80" t="s">
        <v>261</v>
      </c>
      <c r="JD54" s="81" t="s">
        <v>337</v>
      </c>
      <c r="JE54" s="80" t="s">
        <v>261</v>
      </c>
      <c r="JF54" s="81" t="s">
        <v>237</v>
      </c>
      <c r="JG54" s="81" t="s">
        <v>237</v>
      </c>
      <c r="JH54" s="81" t="s">
        <v>237</v>
      </c>
      <c r="JI54" s="81" t="s">
        <v>237</v>
      </c>
      <c r="JJ54" s="80" t="s">
        <v>261</v>
      </c>
      <c r="JK54" s="80" t="s">
        <v>261</v>
      </c>
      <c r="JL54" s="80"/>
      <c r="JM54" s="75" t="s">
        <v>313</v>
      </c>
      <c r="JN54" s="74" t="s">
        <v>261</v>
      </c>
      <c r="JO54" s="75" t="s">
        <v>313</v>
      </c>
      <c r="JP54" s="80"/>
      <c r="JQ54" s="75" t="s">
        <v>313</v>
      </c>
      <c r="JR54" s="74" t="s">
        <v>261</v>
      </c>
      <c r="JS54" s="74" t="s">
        <v>261</v>
      </c>
      <c r="JT54" s="74" t="s">
        <v>261</v>
      </c>
      <c r="JU54" s="75" t="s">
        <v>313</v>
      </c>
      <c r="JV54" s="75" t="s">
        <v>313</v>
      </c>
    </row>
    <row r="55" spans="1:282" x14ac:dyDescent="0.15">
      <c r="A55" s="214" t="s">
        <v>497</v>
      </c>
      <c r="B55" s="6" t="s">
        <v>19</v>
      </c>
      <c r="C55" s="6">
        <v>40000</v>
      </c>
      <c r="D55" s="6">
        <v>16</v>
      </c>
      <c r="E55" s="6">
        <v>6</v>
      </c>
      <c r="F55" s="6">
        <v>2</v>
      </c>
      <c r="G55" s="6" t="s">
        <v>36</v>
      </c>
      <c r="H55" s="6" t="s">
        <v>37</v>
      </c>
      <c r="I55" s="6" t="s">
        <v>38</v>
      </c>
      <c r="J55" s="21" t="s">
        <v>95</v>
      </c>
      <c r="K55" s="21">
        <v>2</v>
      </c>
      <c r="L55" s="21">
        <v>1</v>
      </c>
      <c r="M55" s="21">
        <v>2</v>
      </c>
      <c r="N55" s="21">
        <v>2</v>
      </c>
      <c r="O55" s="21">
        <v>0</v>
      </c>
      <c r="P55" s="21" t="str">
        <f>IF(TeamT[[#This Row],[General]]+TeamT[[#This Row],[Agility]]+TeamT[[#This Row],[Strength]]+TeamT[[#This Row],[Passing]]+TeamT[[#This Row],[Mutation]]&gt;0,IF(TeamT[[#This Row],[General]]=1,"G","")&amp;IF(TeamT[[#This Row],[Agility]]=1,"A","")&amp;IF(TeamT[[#This Row],[Strength]]=1,"S","")&amp;IF(TeamT[[#This Row],[Passing]]=1,"P","")&amp;IF(TeamT[[#This Row],[Mutation]]=1,"M",""),"Star")</f>
        <v>A</v>
      </c>
      <c r="Q55" s="21" t="str">
        <f>IF(TeamT[[#This Row],[General]]=2,"G","")&amp;IF(TeamT[[#This Row],[Agility]]=2,"A","")&amp;IF(TeamT[[#This Row],[Strength]]=2,"S","")&amp;IF(TeamT[[#This Row],[Passing]]=2,"P","")&amp;IF(TeamT[[#This Row],[Mutation]]=2,"M","")</f>
        <v>GSP</v>
      </c>
      <c r="R55" s="212"/>
      <c r="S55" s="21">
        <v>3</v>
      </c>
      <c r="T55" s="21">
        <v>4</v>
      </c>
      <c r="U55" s="21">
        <v>8</v>
      </c>
      <c r="AA55" s="76" t="e">
        <f>HLOOKUP(Roster!$E$5,Team!$BL$2:$MK$128,54,FALSE)</f>
        <v>#N/A</v>
      </c>
      <c r="AB55" s="76" t="e">
        <f>HLOOKUP(Roster!$E$6,Team!$BL$2:$MK$128,54,FALSE)</f>
        <v>#N/A</v>
      </c>
      <c r="AC55" s="76" t="e">
        <f>HLOOKUP(Roster!$E$7,Team!$BL$2:$MK$128,54,FALSE)</f>
        <v>#N/A</v>
      </c>
      <c r="AD55" s="76" t="e">
        <f>HLOOKUP(Roster!$E$8,Team!$BL$2:$MK$128,54,FALSE)</f>
        <v>#N/A</v>
      </c>
      <c r="AE55" s="76" t="e">
        <f>HLOOKUP(Roster!$E$9,Team!$BL$2:$MK$128,54,FALSE)</f>
        <v>#N/A</v>
      </c>
      <c r="AF55" s="76" t="e">
        <f>HLOOKUP(Roster!$E$10,Team!$BL$2:$MK$128,54,FALSE)</f>
        <v>#N/A</v>
      </c>
      <c r="AG55" s="76" t="e">
        <f>HLOOKUP(Roster!$E$11,Team!$BL$2:$MK$128,54,FALSE)</f>
        <v>#N/A</v>
      </c>
      <c r="AH55" s="76" t="e">
        <f>HLOOKUP(Roster!$E$12,Team!$BL$2:$MK$128,54,FALSE)</f>
        <v>#N/A</v>
      </c>
      <c r="AI55" s="76" t="e">
        <f>HLOOKUP(Roster!$E$13,Team!$BL$2:$MK$128,54,FALSE)</f>
        <v>#N/A</v>
      </c>
      <c r="AJ55" s="76" t="e">
        <f>HLOOKUP(Roster!$E$14,Team!$BL$2:$MK$128,54,FALSE)</f>
        <v>#N/A</v>
      </c>
      <c r="AK55" s="76" t="e">
        <f>HLOOKUP(Roster!$E$15,Team!$BL$2:$MK$128,54,FALSE)</f>
        <v>#N/A</v>
      </c>
      <c r="AL55" s="76" t="e">
        <f>HLOOKUP(Roster!$E$16,Team!$BL$2:$MK$128,54,FALSE)</f>
        <v>#N/A</v>
      </c>
      <c r="AM55" s="76" t="e">
        <f>HLOOKUP(Roster!$E$17,Team!$BL$2:$MK$128,54,FALSE)</f>
        <v>#N/A</v>
      </c>
      <c r="AN55" s="76" t="e">
        <f>HLOOKUP(Roster!$E$18,Team!$BL$2:$MK$128,54,FALSE)</f>
        <v>#N/A</v>
      </c>
      <c r="AO55" s="76" t="e">
        <f>HLOOKUP(Roster!$E$19,Team!$BL$2:$MK$128,54,FALSE)</f>
        <v>#N/A</v>
      </c>
      <c r="AP55" s="76" t="e">
        <f>HLOOKUP(Roster!$E$20,Team!$BL$2:$MK$128,54,FALSE)</f>
        <v>#N/A</v>
      </c>
      <c r="AR55" s="108">
        <f t="shared" si="1"/>
        <v>0</v>
      </c>
      <c r="AS55" s="108">
        <f t="shared" si="2"/>
        <v>0</v>
      </c>
      <c r="AT55" s="108">
        <f t="shared" si="3"/>
        <v>0</v>
      </c>
      <c r="AU55" s="108">
        <f t="shared" si="4"/>
        <v>0</v>
      </c>
      <c r="AV55" s="108">
        <f t="shared" si="5"/>
        <v>0</v>
      </c>
      <c r="AW55" s="108">
        <f t="shared" si="6"/>
        <v>0</v>
      </c>
      <c r="AX55" s="108">
        <f t="shared" si="7"/>
        <v>0</v>
      </c>
      <c r="AY55" s="108">
        <f t="shared" si="8"/>
        <v>0</v>
      </c>
      <c r="AZ55" s="108">
        <f t="shared" si="9"/>
        <v>0</v>
      </c>
      <c r="BA55" s="108">
        <f t="shared" si="10"/>
        <v>0</v>
      </c>
      <c r="BB55" s="108">
        <f t="shared" si="11"/>
        <v>0</v>
      </c>
      <c r="BC55" s="108">
        <f t="shared" si="12"/>
        <v>0</v>
      </c>
      <c r="BD55" s="108">
        <f t="shared" si="13"/>
        <v>0</v>
      </c>
      <c r="BE55" s="108">
        <f t="shared" si="14"/>
        <v>0</v>
      </c>
      <c r="BF55" s="108">
        <f t="shared" si="15"/>
        <v>0</v>
      </c>
      <c r="BG55" s="108">
        <f t="shared" si="16"/>
        <v>0</v>
      </c>
      <c r="BL55" s="75" t="s">
        <v>314</v>
      </c>
      <c r="BM55" s="75" t="s">
        <v>230</v>
      </c>
      <c r="BN55" s="75" t="s">
        <v>314</v>
      </c>
      <c r="BO55" s="75" t="s">
        <v>314</v>
      </c>
      <c r="BP55" s="75" t="s">
        <v>314</v>
      </c>
      <c r="BQ55" s="75"/>
      <c r="BR55" s="75" t="s">
        <v>230</v>
      </c>
      <c r="BS55" s="75" t="s">
        <v>230</v>
      </c>
      <c r="BT55" s="75" t="s">
        <v>230</v>
      </c>
      <c r="BU55" s="75" t="s">
        <v>230</v>
      </c>
      <c r="BV55" s="75"/>
      <c r="BW55" s="81" t="s">
        <v>238</v>
      </c>
      <c r="BX55" s="81" t="s">
        <v>230</v>
      </c>
      <c r="BY55" s="81" t="s">
        <v>230</v>
      </c>
      <c r="BZ55" s="81" t="s">
        <v>230</v>
      </c>
      <c r="CA55" s="81" t="s">
        <v>230</v>
      </c>
      <c r="CB55" s="81" t="s">
        <v>238</v>
      </c>
      <c r="CC55" s="77"/>
      <c r="CD55" s="75" t="s">
        <v>314</v>
      </c>
      <c r="CE55" s="81" t="s">
        <v>230</v>
      </c>
      <c r="CF55" s="75" t="s">
        <v>314</v>
      </c>
      <c r="CG55" s="81" t="s">
        <v>230</v>
      </c>
      <c r="CH55" s="75" t="s">
        <v>314</v>
      </c>
      <c r="CI55" s="77"/>
      <c r="CJ55" s="81" t="s">
        <v>230</v>
      </c>
      <c r="CK55" s="81" t="s">
        <v>238</v>
      </c>
      <c r="CL55" s="81" t="s">
        <v>230</v>
      </c>
      <c r="CM55" s="81" t="s">
        <v>230</v>
      </c>
      <c r="CN55" s="81" t="s">
        <v>230</v>
      </c>
      <c r="CO55" s="81" t="s">
        <v>238</v>
      </c>
      <c r="CP55" s="81" t="s">
        <v>230</v>
      </c>
      <c r="CQ55" s="81" t="s">
        <v>230</v>
      </c>
      <c r="CR55" s="81" t="s">
        <v>230</v>
      </c>
      <c r="CS55" s="81" t="s">
        <v>230</v>
      </c>
      <c r="CT55" s="81" t="s">
        <v>230</v>
      </c>
      <c r="CU55" s="81"/>
      <c r="CV55" s="75" t="s">
        <v>230</v>
      </c>
      <c r="CW55" s="75" t="s">
        <v>230</v>
      </c>
      <c r="CX55" s="75" t="s">
        <v>230</v>
      </c>
      <c r="CY55" s="75" t="s">
        <v>230</v>
      </c>
      <c r="CZ55" s="75" t="s">
        <v>230</v>
      </c>
      <c r="DA55" s="81"/>
      <c r="DB55" s="75" t="s">
        <v>314</v>
      </c>
      <c r="DC55" s="75" t="s">
        <v>230</v>
      </c>
      <c r="DD55" s="75" t="s">
        <v>230</v>
      </c>
      <c r="DE55" s="75" t="s">
        <v>230</v>
      </c>
      <c r="DF55" s="75" t="s">
        <v>230</v>
      </c>
      <c r="DG55" s="75" t="s">
        <v>314</v>
      </c>
      <c r="DH55" s="75"/>
      <c r="DI55" s="75" t="s">
        <v>314</v>
      </c>
      <c r="DJ55" s="75" t="s">
        <v>230</v>
      </c>
      <c r="DK55" s="75" t="s">
        <v>230</v>
      </c>
      <c r="DL55" s="75" t="s">
        <v>314</v>
      </c>
      <c r="DM55" s="75" t="s">
        <v>314</v>
      </c>
      <c r="DN55" s="75" t="s">
        <v>314</v>
      </c>
      <c r="DO55" s="75"/>
      <c r="DP55" s="75" t="s">
        <v>314</v>
      </c>
      <c r="DQ55" s="75" t="s">
        <v>230</v>
      </c>
      <c r="DR55" s="75" t="s">
        <v>314</v>
      </c>
      <c r="DS55" s="75" t="s">
        <v>230</v>
      </c>
      <c r="DT55" s="75" t="s">
        <v>314</v>
      </c>
      <c r="DU55" s="75"/>
      <c r="DV55" s="75" t="s">
        <v>230</v>
      </c>
      <c r="DW55" s="75" t="s">
        <v>230</v>
      </c>
      <c r="DX55" s="75" t="s">
        <v>314</v>
      </c>
      <c r="DY55" s="75" t="s">
        <v>314</v>
      </c>
      <c r="DZ55" s="75" t="s">
        <v>230</v>
      </c>
      <c r="EA55" s="75" t="s">
        <v>230</v>
      </c>
      <c r="EB55" s="75" t="s">
        <v>314</v>
      </c>
      <c r="EC55" s="75" t="s">
        <v>230</v>
      </c>
      <c r="ED55" s="75" t="s">
        <v>230</v>
      </c>
      <c r="EE55" s="75"/>
      <c r="EF55" s="75" t="s">
        <v>314</v>
      </c>
      <c r="EG55" s="75" t="s">
        <v>230</v>
      </c>
      <c r="EH55" s="75" t="s">
        <v>314</v>
      </c>
      <c r="EI55" s="75" t="s">
        <v>230</v>
      </c>
      <c r="EJ55" s="75" t="s">
        <v>314</v>
      </c>
      <c r="EK55" s="75"/>
      <c r="EL55" s="75" t="s">
        <v>230</v>
      </c>
      <c r="EM55" s="75" t="s">
        <v>230</v>
      </c>
      <c r="EN55" s="75" t="s">
        <v>314</v>
      </c>
      <c r="EO55" s="75" t="s">
        <v>230</v>
      </c>
      <c r="EP55" s="75" t="s">
        <v>230</v>
      </c>
      <c r="EQ55" s="75"/>
      <c r="ER55" s="75" t="s">
        <v>314</v>
      </c>
      <c r="ES55" s="75" t="s">
        <v>230</v>
      </c>
      <c r="ET55" s="75" t="s">
        <v>230</v>
      </c>
      <c r="EU55" s="75" t="s">
        <v>230</v>
      </c>
      <c r="EV55" s="75" t="s">
        <v>314</v>
      </c>
      <c r="EW55" s="75" t="s">
        <v>314</v>
      </c>
      <c r="EX55" s="75" t="s">
        <v>314</v>
      </c>
      <c r="EY55" s="75"/>
      <c r="EZ55" s="75" t="s">
        <v>314</v>
      </c>
      <c r="FA55" s="75" t="s">
        <v>230</v>
      </c>
      <c r="FB55" s="75" t="s">
        <v>230</v>
      </c>
      <c r="FC55" s="75" t="s">
        <v>314</v>
      </c>
      <c r="FD55" s="75" t="s">
        <v>314</v>
      </c>
      <c r="FE55" s="75" t="s">
        <v>314</v>
      </c>
      <c r="FF55" s="75"/>
      <c r="FG55" s="81" t="s">
        <v>230</v>
      </c>
      <c r="FH55" s="81" t="s">
        <v>238</v>
      </c>
      <c r="FI55" s="81" t="s">
        <v>230</v>
      </c>
      <c r="FJ55" s="81" t="s">
        <v>230</v>
      </c>
      <c r="FK55" s="81" t="s">
        <v>230</v>
      </c>
      <c r="FL55" s="75"/>
      <c r="FM55" s="75" t="s">
        <v>230</v>
      </c>
      <c r="FN55" s="75" t="s">
        <v>230</v>
      </c>
      <c r="FO55" s="75" t="s">
        <v>314</v>
      </c>
      <c r="FP55" s="75" t="s">
        <v>314</v>
      </c>
      <c r="FQ55" s="75" t="s">
        <v>230</v>
      </c>
      <c r="FR55" s="75"/>
      <c r="FS55" s="75" t="s">
        <v>314</v>
      </c>
      <c r="FT55" s="75" t="s">
        <v>230</v>
      </c>
      <c r="FU55" s="75" t="s">
        <v>314</v>
      </c>
      <c r="FV55" s="75" t="s">
        <v>230</v>
      </c>
      <c r="FW55" s="75" t="s">
        <v>314</v>
      </c>
      <c r="FX55" s="75" t="s">
        <v>314</v>
      </c>
      <c r="FY55" s="75"/>
      <c r="FZ55" s="75" t="s">
        <v>230</v>
      </c>
      <c r="GA55" s="75"/>
      <c r="GB55" s="75" t="s">
        <v>230</v>
      </c>
      <c r="GC55" s="75" t="s">
        <v>230</v>
      </c>
      <c r="GD55" s="75" t="s">
        <v>314</v>
      </c>
      <c r="GE55" s="75" t="s">
        <v>314</v>
      </c>
      <c r="GF55" s="75" t="s">
        <v>230</v>
      </c>
      <c r="GG55" s="75"/>
      <c r="GH55" s="81" t="s">
        <v>230</v>
      </c>
      <c r="GI55" s="81" t="s">
        <v>238</v>
      </c>
      <c r="GJ55" s="81" t="s">
        <v>230</v>
      </c>
      <c r="GK55" s="81" t="s">
        <v>230</v>
      </c>
      <c r="GL55" s="81" t="s">
        <v>230</v>
      </c>
      <c r="GM55" s="81"/>
      <c r="GN55" s="81" t="s">
        <v>362</v>
      </c>
      <c r="GO55" s="75" t="s">
        <v>230</v>
      </c>
      <c r="GP55" s="75" t="s">
        <v>230</v>
      </c>
      <c r="GQ55" s="81" t="s">
        <v>362</v>
      </c>
      <c r="GR55" s="81"/>
      <c r="GS55" s="75" t="s">
        <v>314</v>
      </c>
      <c r="GT55" s="75" t="s">
        <v>230</v>
      </c>
      <c r="GU55" s="75" t="s">
        <v>314</v>
      </c>
      <c r="GV55" s="75" t="s">
        <v>314</v>
      </c>
      <c r="GW55" s="75" t="s">
        <v>314</v>
      </c>
      <c r="GX55" s="75" t="s">
        <v>230</v>
      </c>
      <c r="GY55" s="75" t="s">
        <v>314</v>
      </c>
      <c r="GZ55" s="75" t="s">
        <v>314</v>
      </c>
      <c r="HA55" s="75" t="s">
        <v>314</v>
      </c>
      <c r="HB55" s="75" t="s">
        <v>314</v>
      </c>
      <c r="HC55" s="75" t="s">
        <v>230</v>
      </c>
      <c r="HD55" s="75" t="s">
        <v>314</v>
      </c>
      <c r="HE55" s="75"/>
      <c r="HF55" s="75" t="s">
        <v>314</v>
      </c>
      <c r="HG55" s="75" t="s">
        <v>230</v>
      </c>
      <c r="HH55" s="75" t="s">
        <v>230</v>
      </c>
      <c r="HI55" s="75" t="s">
        <v>314</v>
      </c>
      <c r="HJ55" s="75" t="s">
        <v>314</v>
      </c>
      <c r="HK55" s="75" t="s">
        <v>230</v>
      </c>
      <c r="HL55" s="75" t="s">
        <v>314</v>
      </c>
      <c r="HM55" s="75"/>
      <c r="HN55" s="75" t="s">
        <v>314</v>
      </c>
      <c r="HO55" s="75" t="s">
        <v>314</v>
      </c>
      <c r="HP55" s="75" t="s">
        <v>230</v>
      </c>
      <c r="HQ55" s="75" t="s">
        <v>230</v>
      </c>
      <c r="HR55" s="75" t="s">
        <v>314</v>
      </c>
      <c r="HS55" s="75" t="s">
        <v>314</v>
      </c>
      <c r="HT55" s="75"/>
      <c r="HU55" s="75" t="s">
        <v>314</v>
      </c>
      <c r="HV55" s="75" t="s">
        <v>230</v>
      </c>
      <c r="HW55" s="75" t="s">
        <v>314</v>
      </c>
      <c r="HX55" s="75" t="s">
        <v>314</v>
      </c>
      <c r="HY55" s="75" t="s">
        <v>314</v>
      </c>
      <c r="HZ55" s="75" t="s">
        <v>314</v>
      </c>
      <c r="IA55" s="75"/>
      <c r="IB55" s="81" t="s">
        <v>230</v>
      </c>
      <c r="IC55" s="81" t="s">
        <v>238</v>
      </c>
      <c r="ID55" s="81" t="s">
        <v>238</v>
      </c>
      <c r="IE55" s="81" t="s">
        <v>238</v>
      </c>
      <c r="IF55" s="81" t="s">
        <v>230</v>
      </c>
      <c r="IG55" s="81" t="s">
        <v>230</v>
      </c>
      <c r="IH55" s="81"/>
      <c r="II55" s="75" t="s">
        <v>230</v>
      </c>
      <c r="IJ55" s="75" t="s">
        <v>230</v>
      </c>
      <c r="IK55" s="75" t="s">
        <v>230</v>
      </c>
      <c r="IL55" s="75" t="s">
        <v>230</v>
      </c>
      <c r="IM55" s="75" t="s">
        <v>230</v>
      </c>
      <c r="IN55" s="81"/>
      <c r="IO55" s="81" t="s">
        <v>362</v>
      </c>
      <c r="IP55" s="74" t="s">
        <v>326</v>
      </c>
      <c r="IQ55" s="81" t="s">
        <v>362</v>
      </c>
      <c r="IR55" s="81" t="s">
        <v>362</v>
      </c>
      <c r="IS55" s="75" t="s">
        <v>314</v>
      </c>
      <c r="IT55" s="75" t="s">
        <v>230</v>
      </c>
      <c r="IU55" s="81" t="s">
        <v>362</v>
      </c>
      <c r="IV55" s="81"/>
      <c r="IW55" s="75" t="s">
        <v>314</v>
      </c>
      <c r="IX55" s="74" t="s">
        <v>326</v>
      </c>
      <c r="IY55" s="75" t="s">
        <v>230</v>
      </c>
      <c r="IZ55" s="75" t="s">
        <v>314</v>
      </c>
      <c r="JA55" s="75" t="s">
        <v>314</v>
      </c>
      <c r="JB55" s="81"/>
      <c r="JC55" s="81" t="s">
        <v>230</v>
      </c>
      <c r="JD55" s="81" t="s">
        <v>338</v>
      </c>
      <c r="JE55" s="81" t="s">
        <v>230</v>
      </c>
      <c r="JF55" s="81" t="s">
        <v>238</v>
      </c>
      <c r="JG55" s="81" t="s">
        <v>238</v>
      </c>
      <c r="JH55" s="81" t="s">
        <v>238</v>
      </c>
      <c r="JI55" s="81" t="s">
        <v>238</v>
      </c>
      <c r="JJ55" s="81" t="s">
        <v>230</v>
      </c>
      <c r="JK55" s="81" t="s">
        <v>230</v>
      </c>
      <c r="JL55" s="81"/>
      <c r="JM55" s="75" t="s">
        <v>314</v>
      </c>
      <c r="JN55" s="75" t="s">
        <v>230</v>
      </c>
      <c r="JO55" s="75" t="s">
        <v>314</v>
      </c>
      <c r="JP55" s="81"/>
      <c r="JQ55" s="75" t="s">
        <v>314</v>
      </c>
      <c r="JR55" s="75" t="s">
        <v>230</v>
      </c>
      <c r="JS55" s="75" t="s">
        <v>230</v>
      </c>
      <c r="JT55" s="75" t="s">
        <v>230</v>
      </c>
      <c r="JU55" s="75" t="s">
        <v>314</v>
      </c>
      <c r="JV55" s="75" t="s">
        <v>314</v>
      </c>
    </row>
    <row r="56" spans="1:282" x14ac:dyDescent="0.15">
      <c r="A56" s="214" t="s">
        <v>89</v>
      </c>
      <c r="B56" s="6" t="s">
        <v>19</v>
      </c>
      <c r="C56" s="6">
        <v>45000</v>
      </c>
      <c r="D56" s="6">
        <v>1</v>
      </c>
      <c r="E56" s="6">
        <v>6</v>
      </c>
      <c r="F56" s="6">
        <v>2</v>
      </c>
      <c r="G56" s="6" t="s">
        <v>36</v>
      </c>
      <c r="H56" s="6" t="s">
        <v>37</v>
      </c>
      <c r="I56" s="6" t="s">
        <v>38</v>
      </c>
      <c r="J56" s="21" t="s">
        <v>97</v>
      </c>
      <c r="K56" s="21">
        <v>2</v>
      </c>
      <c r="L56" s="21">
        <v>1</v>
      </c>
      <c r="M56" s="21">
        <v>2</v>
      </c>
      <c r="N56" s="21">
        <v>2</v>
      </c>
      <c r="O56" s="21">
        <v>0</v>
      </c>
      <c r="P56" s="21" t="str">
        <f>IF(TeamT[[#This Row],[General]]+TeamT[[#This Row],[Agility]]+TeamT[[#This Row],[Strength]]+TeamT[[#This Row],[Passing]]+TeamT[[#This Row],[Mutation]]&gt;0,IF(TeamT[[#This Row],[General]]=1,"G","")&amp;IF(TeamT[[#This Row],[Agility]]=1,"A","")&amp;IF(TeamT[[#This Row],[Strength]]=1,"S","")&amp;IF(TeamT[[#This Row],[Passing]]=1,"P","")&amp;IF(TeamT[[#This Row],[Mutation]]=1,"M",""),"Star")</f>
        <v>A</v>
      </c>
      <c r="Q56" s="21" t="str">
        <f>IF(TeamT[[#This Row],[General]]=2,"G","")&amp;IF(TeamT[[#This Row],[Agility]]=2,"A","")&amp;IF(TeamT[[#This Row],[Strength]]=2,"S","")&amp;IF(TeamT[[#This Row],[Passing]]=2,"P","")&amp;IF(TeamT[[#This Row],[Mutation]]=2,"M","")</f>
        <v>GSP</v>
      </c>
      <c r="R56" s="212"/>
      <c r="S56" s="21">
        <v>3</v>
      </c>
      <c r="T56" s="21">
        <v>4</v>
      </c>
      <c r="U56" s="21">
        <v>8</v>
      </c>
      <c r="AA56" s="76" t="e">
        <f>HLOOKUP(Roster!$E$5,Team!$BL$2:$MK$128,55,FALSE)</f>
        <v>#N/A</v>
      </c>
      <c r="AB56" s="76" t="e">
        <f>HLOOKUP(Roster!$E$6,Team!$BL$2:$MK$128,55,FALSE)</f>
        <v>#N/A</v>
      </c>
      <c r="AC56" s="76" t="e">
        <f>HLOOKUP(Roster!$E$7,Team!$BL$2:$MK$128,55,FALSE)</f>
        <v>#N/A</v>
      </c>
      <c r="AD56" s="76" t="e">
        <f>HLOOKUP(Roster!$E$8,Team!$BL$2:$MK$128,55,FALSE)</f>
        <v>#N/A</v>
      </c>
      <c r="AE56" s="76" t="e">
        <f>HLOOKUP(Roster!$E$9,Team!$BL$2:$MK$128,55,FALSE)</f>
        <v>#N/A</v>
      </c>
      <c r="AF56" s="76" t="e">
        <f>HLOOKUP(Roster!$E$10,Team!$BL$2:$MK$128,55,FALSE)</f>
        <v>#N/A</v>
      </c>
      <c r="AG56" s="76" t="e">
        <f>HLOOKUP(Roster!$E$11,Team!$BL$2:$MK$128,55,FALSE)</f>
        <v>#N/A</v>
      </c>
      <c r="AH56" s="76" t="e">
        <f>HLOOKUP(Roster!$E$12,Team!$BL$2:$MK$128,55,FALSE)</f>
        <v>#N/A</v>
      </c>
      <c r="AI56" s="76" t="e">
        <f>HLOOKUP(Roster!$E$13,Team!$BL$2:$MK$128,55,FALSE)</f>
        <v>#N/A</v>
      </c>
      <c r="AJ56" s="76" t="e">
        <f>HLOOKUP(Roster!$E$14,Team!$BL$2:$MK$128,55,FALSE)</f>
        <v>#N/A</v>
      </c>
      <c r="AK56" s="76" t="e">
        <f>HLOOKUP(Roster!$E$15,Team!$BL$2:$MK$128,55,FALSE)</f>
        <v>#N/A</v>
      </c>
      <c r="AL56" s="76" t="e">
        <f>HLOOKUP(Roster!$E$16,Team!$BL$2:$MK$128,55,FALSE)</f>
        <v>#N/A</v>
      </c>
      <c r="AM56" s="76" t="e">
        <f>HLOOKUP(Roster!$E$17,Team!$BL$2:$MK$128,55,FALSE)</f>
        <v>#N/A</v>
      </c>
      <c r="AN56" s="76" t="e">
        <f>HLOOKUP(Roster!$E$18,Team!$BL$2:$MK$128,55,FALSE)</f>
        <v>#N/A</v>
      </c>
      <c r="AO56" s="76" t="e">
        <f>HLOOKUP(Roster!$E$19,Team!$BL$2:$MK$128,55,FALSE)</f>
        <v>#N/A</v>
      </c>
      <c r="AP56" s="76" t="e">
        <f>HLOOKUP(Roster!$E$20,Team!$BL$2:$MK$128,55,FALSE)</f>
        <v>#N/A</v>
      </c>
      <c r="AR56" s="108">
        <f t="shared" si="1"/>
        <v>0</v>
      </c>
      <c r="AS56" s="108">
        <f t="shared" si="2"/>
        <v>0</v>
      </c>
      <c r="AT56" s="108">
        <f t="shared" si="3"/>
        <v>0</v>
      </c>
      <c r="AU56" s="108">
        <f t="shared" si="4"/>
        <v>0</v>
      </c>
      <c r="AV56" s="108">
        <f t="shared" si="5"/>
        <v>0</v>
      </c>
      <c r="AW56" s="108">
        <f t="shared" si="6"/>
        <v>0</v>
      </c>
      <c r="AX56" s="108">
        <f t="shared" si="7"/>
        <v>0</v>
      </c>
      <c r="AY56" s="108">
        <f t="shared" si="8"/>
        <v>0</v>
      </c>
      <c r="AZ56" s="108">
        <f t="shared" si="9"/>
        <v>0</v>
      </c>
      <c r="BA56" s="108">
        <f t="shared" si="10"/>
        <v>0</v>
      </c>
      <c r="BB56" s="108">
        <f t="shared" si="11"/>
        <v>0</v>
      </c>
      <c r="BC56" s="108">
        <f t="shared" si="12"/>
        <v>0</v>
      </c>
      <c r="BD56" s="108">
        <f t="shared" si="13"/>
        <v>0</v>
      </c>
      <c r="BE56" s="108">
        <f t="shared" si="14"/>
        <v>0</v>
      </c>
      <c r="BF56" s="108">
        <f t="shared" si="15"/>
        <v>0</v>
      </c>
      <c r="BG56" s="108">
        <f t="shared" si="16"/>
        <v>0</v>
      </c>
      <c r="BL56" s="75" t="s">
        <v>315</v>
      </c>
      <c r="BM56" s="75" t="s">
        <v>231</v>
      </c>
      <c r="BN56" s="75" t="s">
        <v>315</v>
      </c>
      <c r="BO56" s="75" t="s">
        <v>315</v>
      </c>
      <c r="BP56" s="75" t="s">
        <v>315</v>
      </c>
      <c r="BQ56" s="75"/>
      <c r="BR56" s="75" t="s">
        <v>231</v>
      </c>
      <c r="BS56" s="75" t="s">
        <v>231</v>
      </c>
      <c r="BT56" s="75" t="s">
        <v>231</v>
      </c>
      <c r="BU56" s="75" t="s">
        <v>231</v>
      </c>
      <c r="BV56" s="75"/>
      <c r="BW56" s="81" t="s">
        <v>239</v>
      </c>
      <c r="BX56" s="81" t="s">
        <v>231</v>
      </c>
      <c r="BY56" s="81" t="s">
        <v>231</v>
      </c>
      <c r="BZ56" s="81" t="s">
        <v>231</v>
      </c>
      <c r="CA56" s="81" t="s">
        <v>231</v>
      </c>
      <c r="CB56" s="81" t="s">
        <v>239</v>
      </c>
      <c r="CC56" s="77"/>
      <c r="CD56" s="75" t="s">
        <v>315</v>
      </c>
      <c r="CE56" s="81" t="s">
        <v>231</v>
      </c>
      <c r="CF56" s="75" t="s">
        <v>315</v>
      </c>
      <c r="CG56" s="81" t="s">
        <v>231</v>
      </c>
      <c r="CH56" s="75" t="s">
        <v>315</v>
      </c>
      <c r="CI56" s="77"/>
      <c r="CJ56" s="81" t="s">
        <v>231</v>
      </c>
      <c r="CK56" s="81" t="s">
        <v>239</v>
      </c>
      <c r="CL56" s="81" t="s">
        <v>231</v>
      </c>
      <c r="CM56" s="81" t="s">
        <v>231</v>
      </c>
      <c r="CN56" s="81" t="s">
        <v>231</v>
      </c>
      <c r="CO56" s="81" t="s">
        <v>239</v>
      </c>
      <c r="CP56" s="81" t="s">
        <v>231</v>
      </c>
      <c r="CQ56" s="81" t="s">
        <v>231</v>
      </c>
      <c r="CR56" s="81" t="s">
        <v>231</v>
      </c>
      <c r="CS56" s="81" t="s">
        <v>231</v>
      </c>
      <c r="CT56" s="81" t="s">
        <v>231</v>
      </c>
      <c r="CU56" s="81"/>
      <c r="CV56" s="75" t="s">
        <v>231</v>
      </c>
      <c r="CW56" s="75" t="s">
        <v>231</v>
      </c>
      <c r="CX56" s="75" t="s">
        <v>231</v>
      </c>
      <c r="CY56" s="75" t="s">
        <v>231</v>
      </c>
      <c r="CZ56" s="75" t="s">
        <v>231</v>
      </c>
      <c r="DA56" s="81"/>
      <c r="DB56" s="75" t="s">
        <v>315</v>
      </c>
      <c r="DC56" s="75" t="s">
        <v>231</v>
      </c>
      <c r="DD56" s="75" t="s">
        <v>231</v>
      </c>
      <c r="DE56" s="75" t="s">
        <v>231</v>
      </c>
      <c r="DF56" s="75" t="s">
        <v>231</v>
      </c>
      <c r="DG56" s="75" t="s">
        <v>315</v>
      </c>
      <c r="DH56" s="75"/>
      <c r="DI56" s="75" t="s">
        <v>315</v>
      </c>
      <c r="DJ56" s="75" t="s">
        <v>231</v>
      </c>
      <c r="DK56" s="75" t="s">
        <v>231</v>
      </c>
      <c r="DL56" s="75" t="s">
        <v>315</v>
      </c>
      <c r="DM56" s="75" t="s">
        <v>315</v>
      </c>
      <c r="DN56" s="75" t="s">
        <v>315</v>
      </c>
      <c r="DO56" s="75"/>
      <c r="DP56" s="75" t="s">
        <v>315</v>
      </c>
      <c r="DQ56" s="75" t="s">
        <v>231</v>
      </c>
      <c r="DR56" s="75" t="s">
        <v>315</v>
      </c>
      <c r="DS56" s="75" t="s">
        <v>231</v>
      </c>
      <c r="DT56" s="75" t="s">
        <v>315</v>
      </c>
      <c r="DU56" s="75"/>
      <c r="DV56" s="75" t="s">
        <v>231</v>
      </c>
      <c r="DW56" s="75" t="s">
        <v>231</v>
      </c>
      <c r="DX56" s="75" t="s">
        <v>315</v>
      </c>
      <c r="DY56" s="75" t="s">
        <v>315</v>
      </c>
      <c r="DZ56" s="75" t="s">
        <v>231</v>
      </c>
      <c r="EA56" s="75" t="s">
        <v>231</v>
      </c>
      <c r="EB56" s="75" t="s">
        <v>315</v>
      </c>
      <c r="EC56" s="75" t="s">
        <v>231</v>
      </c>
      <c r="ED56" s="75" t="s">
        <v>231</v>
      </c>
      <c r="EE56" s="75"/>
      <c r="EF56" s="75" t="s">
        <v>315</v>
      </c>
      <c r="EG56" s="75" t="s">
        <v>231</v>
      </c>
      <c r="EH56" s="75" t="s">
        <v>315</v>
      </c>
      <c r="EI56" s="75" t="s">
        <v>231</v>
      </c>
      <c r="EJ56" s="75" t="s">
        <v>315</v>
      </c>
      <c r="EK56" s="75"/>
      <c r="EL56" s="75" t="s">
        <v>231</v>
      </c>
      <c r="EM56" s="75" t="s">
        <v>231</v>
      </c>
      <c r="EN56" s="75" t="s">
        <v>315</v>
      </c>
      <c r="EO56" s="75" t="s">
        <v>231</v>
      </c>
      <c r="EP56" s="75" t="s">
        <v>231</v>
      </c>
      <c r="EQ56" s="75"/>
      <c r="ER56" s="75" t="s">
        <v>315</v>
      </c>
      <c r="ES56" s="75" t="s">
        <v>231</v>
      </c>
      <c r="ET56" s="75" t="s">
        <v>231</v>
      </c>
      <c r="EU56" s="75" t="s">
        <v>231</v>
      </c>
      <c r="EV56" s="75" t="s">
        <v>315</v>
      </c>
      <c r="EW56" s="75" t="s">
        <v>315</v>
      </c>
      <c r="EX56" s="75" t="s">
        <v>315</v>
      </c>
      <c r="EY56" s="75"/>
      <c r="EZ56" s="75" t="s">
        <v>315</v>
      </c>
      <c r="FA56" s="75" t="s">
        <v>231</v>
      </c>
      <c r="FB56" s="75" t="s">
        <v>231</v>
      </c>
      <c r="FC56" s="75" t="s">
        <v>315</v>
      </c>
      <c r="FD56" s="75" t="s">
        <v>315</v>
      </c>
      <c r="FE56" s="75" t="s">
        <v>315</v>
      </c>
      <c r="FF56" s="75"/>
      <c r="FG56" s="81" t="s">
        <v>231</v>
      </c>
      <c r="FH56" s="81" t="s">
        <v>239</v>
      </c>
      <c r="FI56" s="81" t="s">
        <v>231</v>
      </c>
      <c r="FJ56" s="81" t="s">
        <v>231</v>
      </c>
      <c r="FK56" s="81" t="s">
        <v>231</v>
      </c>
      <c r="FL56" s="75"/>
      <c r="FM56" s="75" t="s">
        <v>231</v>
      </c>
      <c r="FN56" s="75" t="s">
        <v>231</v>
      </c>
      <c r="FO56" s="75" t="s">
        <v>315</v>
      </c>
      <c r="FP56" s="75" t="s">
        <v>315</v>
      </c>
      <c r="FQ56" s="75" t="s">
        <v>231</v>
      </c>
      <c r="FR56" s="75"/>
      <c r="FS56" s="75" t="s">
        <v>315</v>
      </c>
      <c r="FT56" s="75" t="s">
        <v>231</v>
      </c>
      <c r="FU56" s="75" t="s">
        <v>315</v>
      </c>
      <c r="FV56" s="75" t="s">
        <v>231</v>
      </c>
      <c r="FW56" s="75" t="s">
        <v>315</v>
      </c>
      <c r="FX56" s="75" t="s">
        <v>315</v>
      </c>
      <c r="FY56" s="75"/>
      <c r="FZ56" s="75" t="s">
        <v>231</v>
      </c>
      <c r="GA56" s="75"/>
      <c r="GB56" s="75" t="s">
        <v>231</v>
      </c>
      <c r="GC56" s="75" t="s">
        <v>231</v>
      </c>
      <c r="GD56" s="75" t="s">
        <v>315</v>
      </c>
      <c r="GE56" s="75" t="s">
        <v>315</v>
      </c>
      <c r="GF56" s="75" t="s">
        <v>231</v>
      </c>
      <c r="GG56" s="75"/>
      <c r="GH56" s="81" t="s">
        <v>231</v>
      </c>
      <c r="GI56" s="81" t="s">
        <v>239</v>
      </c>
      <c r="GJ56" s="81" t="s">
        <v>231</v>
      </c>
      <c r="GK56" s="81" t="s">
        <v>231</v>
      </c>
      <c r="GL56" s="81" t="s">
        <v>231</v>
      </c>
      <c r="GM56" s="81"/>
      <c r="GN56" s="81" t="s">
        <v>363</v>
      </c>
      <c r="GO56" s="75" t="s">
        <v>231</v>
      </c>
      <c r="GP56" s="75" t="s">
        <v>231</v>
      </c>
      <c r="GQ56" s="81" t="s">
        <v>363</v>
      </c>
      <c r="GR56" s="81"/>
      <c r="GS56" s="75" t="s">
        <v>315</v>
      </c>
      <c r="GT56" s="75" t="s">
        <v>231</v>
      </c>
      <c r="GU56" s="75" t="s">
        <v>315</v>
      </c>
      <c r="GV56" s="75" t="s">
        <v>315</v>
      </c>
      <c r="GW56" s="75" t="s">
        <v>315</v>
      </c>
      <c r="GX56" s="75" t="s">
        <v>231</v>
      </c>
      <c r="GY56" s="75" t="s">
        <v>315</v>
      </c>
      <c r="GZ56" s="75" t="s">
        <v>315</v>
      </c>
      <c r="HA56" s="75" t="s">
        <v>315</v>
      </c>
      <c r="HB56" s="75" t="s">
        <v>315</v>
      </c>
      <c r="HC56" s="75" t="s">
        <v>231</v>
      </c>
      <c r="HD56" s="75" t="s">
        <v>315</v>
      </c>
      <c r="HE56" s="75"/>
      <c r="HF56" s="75" t="s">
        <v>315</v>
      </c>
      <c r="HG56" s="75" t="s">
        <v>231</v>
      </c>
      <c r="HH56" s="75" t="s">
        <v>231</v>
      </c>
      <c r="HI56" s="75" t="s">
        <v>315</v>
      </c>
      <c r="HJ56" s="75" t="s">
        <v>315</v>
      </c>
      <c r="HK56" s="75" t="s">
        <v>231</v>
      </c>
      <c r="HL56" s="75" t="s">
        <v>315</v>
      </c>
      <c r="HM56" s="75"/>
      <c r="HN56" s="75" t="s">
        <v>315</v>
      </c>
      <c r="HO56" s="75" t="s">
        <v>315</v>
      </c>
      <c r="HP56" s="75" t="s">
        <v>231</v>
      </c>
      <c r="HQ56" s="75" t="s">
        <v>231</v>
      </c>
      <c r="HR56" s="75" t="s">
        <v>315</v>
      </c>
      <c r="HS56" s="75" t="s">
        <v>315</v>
      </c>
      <c r="HT56" s="75"/>
      <c r="HU56" s="75" t="s">
        <v>315</v>
      </c>
      <c r="HV56" s="75" t="s">
        <v>231</v>
      </c>
      <c r="HW56" s="75" t="s">
        <v>315</v>
      </c>
      <c r="HX56" s="75" t="s">
        <v>315</v>
      </c>
      <c r="HY56" s="75" t="s">
        <v>315</v>
      </c>
      <c r="HZ56" s="75" t="s">
        <v>315</v>
      </c>
      <c r="IA56" s="75"/>
      <c r="IB56" s="81" t="s">
        <v>231</v>
      </c>
      <c r="IC56" s="81" t="s">
        <v>239</v>
      </c>
      <c r="ID56" s="81" t="s">
        <v>239</v>
      </c>
      <c r="IE56" s="81" t="s">
        <v>239</v>
      </c>
      <c r="IF56" s="81" t="s">
        <v>231</v>
      </c>
      <c r="IG56" s="81" t="s">
        <v>231</v>
      </c>
      <c r="IH56" s="81"/>
      <c r="II56" s="75" t="s">
        <v>231</v>
      </c>
      <c r="IJ56" s="75" t="s">
        <v>231</v>
      </c>
      <c r="IK56" s="75" t="s">
        <v>231</v>
      </c>
      <c r="IL56" s="75" t="s">
        <v>231</v>
      </c>
      <c r="IM56" s="75" t="s">
        <v>231</v>
      </c>
      <c r="IN56" s="81"/>
      <c r="IO56" s="81" t="s">
        <v>363</v>
      </c>
      <c r="IP56" s="75" t="s">
        <v>327</v>
      </c>
      <c r="IQ56" s="81" t="s">
        <v>363</v>
      </c>
      <c r="IR56" s="81" t="s">
        <v>363</v>
      </c>
      <c r="IS56" s="75" t="s">
        <v>315</v>
      </c>
      <c r="IT56" s="75" t="s">
        <v>231</v>
      </c>
      <c r="IU56" s="81" t="s">
        <v>363</v>
      </c>
      <c r="IV56" s="81"/>
      <c r="IW56" s="75" t="s">
        <v>315</v>
      </c>
      <c r="IX56" s="75" t="s">
        <v>327</v>
      </c>
      <c r="IY56" s="75" t="s">
        <v>231</v>
      </c>
      <c r="IZ56" s="75" t="s">
        <v>315</v>
      </c>
      <c r="JA56" s="75" t="s">
        <v>315</v>
      </c>
      <c r="JB56" s="81"/>
      <c r="JC56" s="81" t="s">
        <v>231</v>
      </c>
      <c r="JD56" s="81" t="s">
        <v>339</v>
      </c>
      <c r="JE56" s="81" t="s">
        <v>231</v>
      </c>
      <c r="JF56" s="81" t="s">
        <v>239</v>
      </c>
      <c r="JG56" s="81" t="s">
        <v>239</v>
      </c>
      <c r="JH56" s="81" t="s">
        <v>239</v>
      </c>
      <c r="JI56" s="81" t="s">
        <v>239</v>
      </c>
      <c r="JJ56" s="81" t="s">
        <v>231</v>
      </c>
      <c r="JK56" s="81" t="s">
        <v>231</v>
      </c>
      <c r="JL56" s="81"/>
      <c r="JM56" s="75" t="s">
        <v>315</v>
      </c>
      <c r="JN56" s="75" t="s">
        <v>231</v>
      </c>
      <c r="JO56" s="75" t="s">
        <v>315</v>
      </c>
      <c r="JP56" s="81"/>
      <c r="JQ56" s="75" t="s">
        <v>315</v>
      </c>
      <c r="JR56" s="75" t="s">
        <v>231</v>
      </c>
      <c r="JS56" s="75" t="s">
        <v>231</v>
      </c>
      <c r="JT56" s="75" t="s">
        <v>231</v>
      </c>
      <c r="JU56" s="75" t="s">
        <v>315</v>
      </c>
      <c r="JV56" s="75" t="s">
        <v>315</v>
      </c>
    </row>
    <row r="57" spans="1:282" x14ac:dyDescent="0.15">
      <c r="A57" s="214" t="s">
        <v>90</v>
      </c>
      <c r="B57" s="6" t="s">
        <v>19</v>
      </c>
      <c r="C57" s="6">
        <v>40000</v>
      </c>
      <c r="D57" s="6">
        <v>1</v>
      </c>
      <c r="E57" s="6">
        <v>6</v>
      </c>
      <c r="F57" s="6">
        <v>2</v>
      </c>
      <c r="G57" s="6" t="s">
        <v>36</v>
      </c>
      <c r="H57" s="6" t="s">
        <v>53</v>
      </c>
      <c r="I57" s="6" t="s">
        <v>38</v>
      </c>
      <c r="J57" s="21" t="s">
        <v>98</v>
      </c>
      <c r="K57" s="21">
        <v>2</v>
      </c>
      <c r="L57" s="21">
        <v>1</v>
      </c>
      <c r="M57" s="21">
        <v>2</v>
      </c>
      <c r="N57" s="21">
        <v>0</v>
      </c>
      <c r="O57" s="21">
        <v>0</v>
      </c>
      <c r="P57" s="21" t="str">
        <f>IF(TeamT[[#This Row],[General]]+TeamT[[#This Row],[Agility]]+TeamT[[#This Row],[Strength]]+TeamT[[#This Row],[Passing]]+TeamT[[#This Row],[Mutation]]&gt;0,IF(TeamT[[#This Row],[General]]=1,"G","")&amp;IF(TeamT[[#This Row],[Agility]]=1,"A","")&amp;IF(TeamT[[#This Row],[Strength]]=1,"S","")&amp;IF(TeamT[[#This Row],[Passing]]=1,"P","")&amp;IF(TeamT[[#This Row],[Mutation]]=1,"M",""),"Star")</f>
        <v>A</v>
      </c>
      <c r="Q57" s="21" t="str">
        <f>IF(TeamT[[#This Row],[General]]=2,"G","")&amp;IF(TeamT[[#This Row],[Agility]]=2,"A","")&amp;IF(TeamT[[#This Row],[Strength]]=2,"S","")&amp;IF(TeamT[[#This Row],[Passing]]=2,"P","")&amp;IF(TeamT[[#This Row],[Mutation]]=2,"M","")</f>
        <v>GS</v>
      </c>
      <c r="R57" s="212"/>
      <c r="S57" s="21">
        <v>3</v>
      </c>
      <c r="T57" s="21" t="s">
        <v>53</v>
      </c>
      <c r="U57" s="21">
        <v>8</v>
      </c>
      <c r="AA57" s="76" t="e">
        <f>HLOOKUP(Roster!$E$5,Team!$BL$2:$MK$128,56,FALSE)</f>
        <v>#N/A</v>
      </c>
      <c r="AB57" s="76" t="e">
        <f>HLOOKUP(Roster!$E$6,Team!$BL$2:$MK$128,56,FALSE)</f>
        <v>#N/A</v>
      </c>
      <c r="AC57" s="76" t="e">
        <f>HLOOKUP(Roster!$E$7,Team!$BL$2:$MK$128,56,FALSE)</f>
        <v>#N/A</v>
      </c>
      <c r="AD57" s="76" t="e">
        <f>HLOOKUP(Roster!$E$8,Team!$BL$2:$MK$128,56,FALSE)</f>
        <v>#N/A</v>
      </c>
      <c r="AE57" s="76" t="e">
        <f>HLOOKUP(Roster!$E$9,Team!$BL$2:$MK$128,56,FALSE)</f>
        <v>#N/A</v>
      </c>
      <c r="AF57" s="76" t="e">
        <f>HLOOKUP(Roster!$E$10,Team!$BL$2:$MK$128,56,FALSE)</f>
        <v>#N/A</v>
      </c>
      <c r="AG57" s="76" t="e">
        <f>HLOOKUP(Roster!$E$11,Team!$BL$2:$MK$128,56,FALSE)</f>
        <v>#N/A</v>
      </c>
      <c r="AH57" s="76" t="e">
        <f>HLOOKUP(Roster!$E$12,Team!$BL$2:$MK$128,56,FALSE)</f>
        <v>#N/A</v>
      </c>
      <c r="AI57" s="76" t="e">
        <f>HLOOKUP(Roster!$E$13,Team!$BL$2:$MK$128,56,FALSE)</f>
        <v>#N/A</v>
      </c>
      <c r="AJ57" s="76" t="e">
        <f>HLOOKUP(Roster!$E$14,Team!$BL$2:$MK$128,56,FALSE)</f>
        <v>#N/A</v>
      </c>
      <c r="AK57" s="76" t="e">
        <f>HLOOKUP(Roster!$E$15,Team!$BL$2:$MK$128,56,FALSE)</f>
        <v>#N/A</v>
      </c>
      <c r="AL57" s="76" t="e">
        <f>HLOOKUP(Roster!$E$16,Team!$BL$2:$MK$128,56,FALSE)</f>
        <v>#N/A</v>
      </c>
      <c r="AM57" s="76" t="e">
        <f>HLOOKUP(Roster!$E$17,Team!$BL$2:$MK$128,56,FALSE)</f>
        <v>#N/A</v>
      </c>
      <c r="AN57" s="76" t="e">
        <f>HLOOKUP(Roster!$E$18,Team!$BL$2:$MK$128,56,FALSE)</f>
        <v>#N/A</v>
      </c>
      <c r="AO57" s="76" t="e">
        <f>HLOOKUP(Roster!$E$19,Team!$BL$2:$MK$128,56,FALSE)</f>
        <v>#N/A</v>
      </c>
      <c r="AP57" s="76" t="e">
        <f>HLOOKUP(Roster!$E$20,Team!$BL$2:$MK$128,56,FALSE)</f>
        <v>#N/A</v>
      </c>
      <c r="AR57" s="108">
        <f t="shared" si="1"/>
        <v>0</v>
      </c>
      <c r="AS57" s="108">
        <f t="shared" si="2"/>
        <v>0</v>
      </c>
      <c r="AT57" s="108">
        <f t="shared" si="3"/>
        <v>0</v>
      </c>
      <c r="AU57" s="108">
        <f t="shared" si="4"/>
        <v>0</v>
      </c>
      <c r="AV57" s="108">
        <f t="shared" si="5"/>
        <v>0</v>
      </c>
      <c r="AW57" s="108">
        <f t="shared" si="6"/>
        <v>0</v>
      </c>
      <c r="AX57" s="108">
        <f t="shared" si="7"/>
        <v>0</v>
      </c>
      <c r="AY57" s="108">
        <f t="shared" si="8"/>
        <v>0</v>
      </c>
      <c r="AZ57" s="108">
        <f t="shared" si="9"/>
        <v>0</v>
      </c>
      <c r="BA57" s="108">
        <f t="shared" si="10"/>
        <v>0</v>
      </c>
      <c r="BB57" s="108">
        <f t="shared" si="11"/>
        <v>0</v>
      </c>
      <c r="BC57" s="108">
        <f t="shared" si="12"/>
        <v>0</v>
      </c>
      <c r="BD57" s="108">
        <f t="shared" si="13"/>
        <v>0</v>
      </c>
      <c r="BE57" s="108">
        <f t="shared" si="14"/>
        <v>0</v>
      </c>
      <c r="BF57" s="108">
        <f t="shared" si="15"/>
        <v>0</v>
      </c>
      <c r="BG57" s="108">
        <f t="shared" si="16"/>
        <v>0</v>
      </c>
      <c r="BL57" s="75" t="s">
        <v>340</v>
      </c>
      <c r="BM57" s="74" t="s">
        <v>305</v>
      </c>
      <c r="BN57" s="75" t="s">
        <v>340</v>
      </c>
      <c r="BO57" s="75" t="s">
        <v>340</v>
      </c>
      <c r="BP57" s="75" t="s">
        <v>340</v>
      </c>
      <c r="BQ57" s="74"/>
      <c r="BR57" s="74" t="s">
        <v>305</v>
      </c>
      <c r="BS57" s="74" t="s">
        <v>305</v>
      </c>
      <c r="BT57" s="74" t="s">
        <v>305</v>
      </c>
      <c r="BU57" s="74" t="s">
        <v>305</v>
      </c>
      <c r="BV57" s="74"/>
      <c r="BW57" s="81" t="s">
        <v>224</v>
      </c>
      <c r="BX57" s="80" t="s">
        <v>305</v>
      </c>
      <c r="BY57" s="80" t="s">
        <v>305</v>
      </c>
      <c r="BZ57" s="80" t="s">
        <v>305</v>
      </c>
      <c r="CA57" s="80" t="s">
        <v>305</v>
      </c>
      <c r="CB57" s="81" t="s">
        <v>224</v>
      </c>
      <c r="CC57" s="77"/>
      <c r="CD57" s="75" t="s">
        <v>340</v>
      </c>
      <c r="CE57" s="80" t="s">
        <v>305</v>
      </c>
      <c r="CF57" s="75" t="s">
        <v>340</v>
      </c>
      <c r="CG57" s="80" t="s">
        <v>305</v>
      </c>
      <c r="CH57" s="75" t="s">
        <v>340</v>
      </c>
      <c r="CI57" s="77"/>
      <c r="CJ57" s="80" t="s">
        <v>305</v>
      </c>
      <c r="CK57" s="81" t="s">
        <v>224</v>
      </c>
      <c r="CL57" s="81" t="s">
        <v>316</v>
      </c>
      <c r="CM57" s="80" t="s">
        <v>305</v>
      </c>
      <c r="CN57" s="80" t="s">
        <v>305</v>
      </c>
      <c r="CO57" s="81" t="s">
        <v>224</v>
      </c>
      <c r="CP57" s="80" t="s">
        <v>305</v>
      </c>
      <c r="CQ57" s="80" t="s">
        <v>305</v>
      </c>
      <c r="CR57" s="80" t="s">
        <v>305</v>
      </c>
      <c r="CS57" s="80" t="s">
        <v>305</v>
      </c>
      <c r="CT57" s="80" t="s">
        <v>305</v>
      </c>
      <c r="CU57" s="80"/>
      <c r="CV57" s="74" t="s">
        <v>305</v>
      </c>
      <c r="CW57" s="74" t="s">
        <v>305</v>
      </c>
      <c r="CX57" s="74" t="s">
        <v>305</v>
      </c>
      <c r="CY57" s="74" t="s">
        <v>305</v>
      </c>
      <c r="CZ57" s="74" t="s">
        <v>305</v>
      </c>
      <c r="DA57" s="80"/>
      <c r="DB57" s="75" t="s">
        <v>340</v>
      </c>
      <c r="DC57" s="74" t="s">
        <v>305</v>
      </c>
      <c r="DD57" s="74" t="s">
        <v>305</v>
      </c>
      <c r="DE57" s="74" t="s">
        <v>305</v>
      </c>
      <c r="DF57" s="74" t="s">
        <v>305</v>
      </c>
      <c r="DG57" s="75" t="s">
        <v>340</v>
      </c>
      <c r="DH57" s="75"/>
      <c r="DI57" s="75" t="s">
        <v>340</v>
      </c>
      <c r="DJ57" s="74" t="s">
        <v>305</v>
      </c>
      <c r="DK57" s="74" t="s">
        <v>305</v>
      </c>
      <c r="DL57" s="75" t="s">
        <v>340</v>
      </c>
      <c r="DM57" s="75" t="s">
        <v>340</v>
      </c>
      <c r="DN57" s="75" t="s">
        <v>340</v>
      </c>
      <c r="DO57" s="75"/>
      <c r="DP57" s="75" t="s">
        <v>340</v>
      </c>
      <c r="DQ57" s="74" t="s">
        <v>305</v>
      </c>
      <c r="DR57" s="75" t="s">
        <v>340</v>
      </c>
      <c r="DS57" s="74" t="s">
        <v>305</v>
      </c>
      <c r="DT57" s="75" t="s">
        <v>340</v>
      </c>
      <c r="DU57" s="75"/>
      <c r="DV57" s="74" t="s">
        <v>305</v>
      </c>
      <c r="DW57" s="74" t="s">
        <v>305</v>
      </c>
      <c r="DX57" s="75" t="s">
        <v>340</v>
      </c>
      <c r="DY57" s="75" t="s">
        <v>340</v>
      </c>
      <c r="DZ57" s="74" t="s">
        <v>305</v>
      </c>
      <c r="EA57" s="74" t="s">
        <v>305</v>
      </c>
      <c r="EB57" s="75" t="s">
        <v>340</v>
      </c>
      <c r="EC57" s="74" t="s">
        <v>305</v>
      </c>
      <c r="ED57" s="74" t="s">
        <v>305</v>
      </c>
      <c r="EE57" s="74"/>
      <c r="EF57" s="75" t="s">
        <v>340</v>
      </c>
      <c r="EG57" s="74" t="s">
        <v>305</v>
      </c>
      <c r="EH57" s="75" t="s">
        <v>340</v>
      </c>
      <c r="EI57" s="74" t="s">
        <v>305</v>
      </c>
      <c r="EJ57" s="75" t="s">
        <v>340</v>
      </c>
      <c r="EK57" s="75"/>
      <c r="EL57" s="74" t="s">
        <v>305</v>
      </c>
      <c r="EM57" s="74" t="s">
        <v>305</v>
      </c>
      <c r="EN57" s="75" t="s">
        <v>340</v>
      </c>
      <c r="EO57" s="74" t="s">
        <v>305</v>
      </c>
      <c r="EP57" s="74" t="s">
        <v>305</v>
      </c>
      <c r="EQ57" s="75"/>
      <c r="ER57" s="75" t="s">
        <v>340</v>
      </c>
      <c r="ES57" s="74" t="s">
        <v>305</v>
      </c>
      <c r="ET57" s="74" t="s">
        <v>305</v>
      </c>
      <c r="EU57" s="74" t="s">
        <v>305</v>
      </c>
      <c r="EV57" s="75" t="s">
        <v>340</v>
      </c>
      <c r="EW57" s="75" t="s">
        <v>340</v>
      </c>
      <c r="EX57" s="75" t="s">
        <v>340</v>
      </c>
      <c r="EY57" s="75"/>
      <c r="EZ57" s="75" t="s">
        <v>340</v>
      </c>
      <c r="FA57" s="74" t="s">
        <v>305</v>
      </c>
      <c r="FB57" s="74" t="s">
        <v>305</v>
      </c>
      <c r="FC57" s="75" t="s">
        <v>340</v>
      </c>
      <c r="FD57" s="75" t="s">
        <v>340</v>
      </c>
      <c r="FE57" s="75" t="s">
        <v>340</v>
      </c>
      <c r="FF57" s="75"/>
      <c r="FG57" s="80" t="s">
        <v>305</v>
      </c>
      <c r="FH57" s="81" t="s">
        <v>224</v>
      </c>
      <c r="FI57" s="80" t="s">
        <v>305</v>
      </c>
      <c r="FJ57" s="80" t="s">
        <v>305</v>
      </c>
      <c r="FK57" s="80" t="s">
        <v>305</v>
      </c>
      <c r="FL57" s="75"/>
      <c r="FM57" s="74" t="s">
        <v>305</v>
      </c>
      <c r="FN57" s="74" t="s">
        <v>305</v>
      </c>
      <c r="FO57" s="75" t="s">
        <v>340</v>
      </c>
      <c r="FP57" s="75" t="s">
        <v>340</v>
      </c>
      <c r="FQ57" s="74" t="s">
        <v>305</v>
      </c>
      <c r="FR57" s="74"/>
      <c r="FS57" s="75" t="s">
        <v>340</v>
      </c>
      <c r="FT57" s="74" t="s">
        <v>305</v>
      </c>
      <c r="FU57" s="75" t="s">
        <v>340</v>
      </c>
      <c r="FV57" s="74" t="s">
        <v>305</v>
      </c>
      <c r="FW57" s="75" t="s">
        <v>340</v>
      </c>
      <c r="FX57" s="75" t="s">
        <v>340</v>
      </c>
      <c r="FY57" s="75"/>
      <c r="FZ57" s="74" t="s">
        <v>305</v>
      </c>
      <c r="GA57" s="74"/>
      <c r="GB57" s="74" t="s">
        <v>305</v>
      </c>
      <c r="GC57" s="74" t="s">
        <v>305</v>
      </c>
      <c r="GD57" s="75" t="s">
        <v>340</v>
      </c>
      <c r="GE57" s="75" t="s">
        <v>340</v>
      </c>
      <c r="GF57" s="74" t="s">
        <v>305</v>
      </c>
      <c r="GG57" s="75"/>
      <c r="GH57" s="80" t="s">
        <v>305</v>
      </c>
      <c r="GI57" s="81" t="s">
        <v>224</v>
      </c>
      <c r="GJ57" s="80" t="s">
        <v>305</v>
      </c>
      <c r="GK57" s="80" t="s">
        <v>305</v>
      </c>
      <c r="GL57" s="80" t="s">
        <v>305</v>
      </c>
      <c r="GM57" s="80"/>
      <c r="GO57" s="74" t="s">
        <v>305</v>
      </c>
      <c r="GP57" s="74" t="s">
        <v>305</v>
      </c>
      <c r="GS57" s="75" t="s">
        <v>340</v>
      </c>
      <c r="GT57" s="74" t="s">
        <v>305</v>
      </c>
      <c r="GU57" s="75" t="s">
        <v>340</v>
      </c>
      <c r="GV57" s="75" t="s">
        <v>340</v>
      </c>
      <c r="GW57" s="75" t="s">
        <v>340</v>
      </c>
      <c r="GX57" s="74" t="s">
        <v>305</v>
      </c>
      <c r="GY57" s="75" t="s">
        <v>340</v>
      </c>
      <c r="GZ57" s="75" t="s">
        <v>340</v>
      </c>
      <c r="HA57" s="75" t="s">
        <v>340</v>
      </c>
      <c r="HB57" s="75" t="s">
        <v>340</v>
      </c>
      <c r="HC57" s="74" t="s">
        <v>305</v>
      </c>
      <c r="HD57" s="75" t="s">
        <v>340</v>
      </c>
      <c r="HE57" s="75"/>
      <c r="HF57" s="75" t="s">
        <v>340</v>
      </c>
      <c r="HG57" s="74" t="s">
        <v>305</v>
      </c>
      <c r="HH57" s="74" t="s">
        <v>305</v>
      </c>
      <c r="HI57" s="75" t="s">
        <v>340</v>
      </c>
      <c r="HJ57" s="75" t="s">
        <v>340</v>
      </c>
      <c r="HK57" s="74" t="s">
        <v>305</v>
      </c>
      <c r="HL57" s="75" t="s">
        <v>340</v>
      </c>
      <c r="HM57" s="75"/>
      <c r="HN57" s="75" t="s">
        <v>340</v>
      </c>
      <c r="HO57" s="75" t="s">
        <v>340</v>
      </c>
      <c r="HP57" s="74" t="s">
        <v>305</v>
      </c>
      <c r="HQ57" s="74" t="s">
        <v>305</v>
      </c>
      <c r="HR57" s="75" t="s">
        <v>340</v>
      </c>
      <c r="HS57" s="75" t="s">
        <v>340</v>
      </c>
      <c r="HT57" s="75"/>
      <c r="HU57" s="75" t="s">
        <v>340</v>
      </c>
      <c r="HV57" s="74" t="s">
        <v>305</v>
      </c>
      <c r="HW57" s="75" t="s">
        <v>340</v>
      </c>
      <c r="HX57" s="75" t="s">
        <v>340</v>
      </c>
      <c r="HY57" s="75" t="s">
        <v>340</v>
      </c>
      <c r="HZ57" s="75" t="s">
        <v>340</v>
      </c>
      <c r="IA57" s="75"/>
      <c r="IB57" s="80" t="s">
        <v>305</v>
      </c>
      <c r="IC57" s="81" t="s">
        <v>224</v>
      </c>
      <c r="ID57" s="81" t="s">
        <v>224</v>
      </c>
      <c r="IE57" s="81" t="s">
        <v>224</v>
      </c>
      <c r="IF57" s="80" t="s">
        <v>305</v>
      </c>
      <c r="IG57" s="80" t="s">
        <v>305</v>
      </c>
      <c r="IH57" s="80"/>
      <c r="II57" s="74" t="s">
        <v>305</v>
      </c>
      <c r="IJ57" s="74" t="s">
        <v>305</v>
      </c>
      <c r="IK57" s="74" t="s">
        <v>305</v>
      </c>
      <c r="IL57" s="74" t="s">
        <v>305</v>
      </c>
      <c r="IM57" s="74" t="s">
        <v>305</v>
      </c>
      <c r="IN57" s="80"/>
      <c r="IP57" s="75" t="s">
        <v>340</v>
      </c>
      <c r="IS57" s="75" t="s">
        <v>340</v>
      </c>
      <c r="IT57" s="74" t="s">
        <v>305</v>
      </c>
      <c r="IW57" s="75" t="s">
        <v>340</v>
      </c>
      <c r="IX57" s="75" t="s">
        <v>340</v>
      </c>
      <c r="IY57" s="74" t="s">
        <v>305</v>
      </c>
      <c r="IZ57" s="75" t="s">
        <v>340</v>
      </c>
      <c r="JA57" s="75" t="s">
        <v>340</v>
      </c>
      <c r="JC57" s="80" t="s">
        <v>305</v>
      </c>
      <c r="JD57" s="81" t="s">
        <v>340</v>
      </c>
      <c r="JE57" s="80" t="s">
        <v>305</v>
      </c>
      <c r="JF57" s="81" t="s">
        <v>224</v>
      </c>
      <c r="JG57" s="81" t="s">
        <v>224</v>
      </c>
      <c r="JH57" s="81" t="s">
        <v>224</v>
      </c>
      <c r="JI57" s="81" t="s">
        <v>224</v>
      </c>
      <c r="JJ57" s="80" t="s">
        <v>305</v>
      </c>
      <c r="JK57" s="80" t="s">
        <v>305</v>
      </c>
      <c r="JL57" s="80"/>
      <c r="JM57" s="75" t="s">
        <v>340</v>
      </c>
      <c r="JN57" s="74" t="s">
        <v>305</v>
      </c>
      <c r="JO57" s="75" t="s">
        <v>340</v>
      </c>
      <c r="JP57" s="80"/>
      <c r="JQ57" s="75" t="s">
        <v>340</v>
      </c>
      <c r="JR57" s="74" t="s">
        <v>305</v>
      </c>
      <c r="JS57" s="74" t="s">
        <v>305</v>
      </c>
      <c r="JT57" s="74" t="s">
        <v>305</v>
      </c>
      <c r="JU57" s="75" t="s">
        <v>340</v>
      </c>
      <c r="JV57" s="75" t="s">
        <v>340</v>
      </c>
    </row>
    <row r="58" spans="1:282" x14ac:dyDescent="0.15">
      <c r="A58" s="214" t="s">
        <v>91</v>
      </c>
      <c r="B58" s="6" t="s">
        <v>19</v>
      </c>
      <c r="C58" s="6">
        <v>70000</v>
      </c>
      <c r="D58" s="6">
        <v>1</v>
      </c>
      <c r="E58" s="6">
        <v>3</v>
      </c>
      <c r="F58" s="6">
        <v>7</v>
      </c>
      <c r="G58" s="6" t="s">
        <v>36</v>
      </c>
      <c r="H58" s="6" t="s">
        <v>53</v>
      </c>
      <c r="I58" s="6" t="s">
        <v>38</v>
      </c>
      <c r="J58" s="21" t="s">
        <v>99</v>
      </c>
      <c r="K58" s="21">
        <v>2</v>
      </c>
      <c r="L58" s="21">
        <v>2</v>
      </c>
      <c r="M58" s="21">
        <v>1</v>
      </c>
      <c r="N58" s="21">
        <v>0</v>
      </c>
      <c r="O58" s="21">
        <v>0</v>
      </c>
      <c r="P58" s="21" t="str">
        <f>IF(TeamT[[#This Row],[General]]+TeamT[[#This Row],[Agility]]+TeamT[[#This Row],[Strength]]+TeamT[[#This Row],[Passing]]+TeamT[[#This Row],[Mutation]]&gt;0,IF(TeamT[[#This Row],[General]]=1,"G","")&amp;IF(TeamT[[#This Row],[Agility]]=1,"A","")&amp;IF(TeamT[[#This Row],[Strength]]=1,"S","")&amp;IF(TeamT[[#This Row],[Passing]]=1,"P","")&amp;IF(TeamT[[#This Row],[Mutation]]=1,"M",""),"Star")</f>
        <v>S</v>
      </c>
      <c r="Q58" s="21" t="str">
        <f>IF(TeamT[[#This Row],[General]]=2,"G","")&amp;IF(TeamT[[#This Row],[Agility]]=2,"A","")&amp;IF(TeamT[[#This Row],[Strength]]=2,"S","")&amp;IF(TeamT[[#This Row],[Passing]]=2,"P","")&amp;IF(TeamT[[#This Row],[Mutation]]=2,"M","")</f>
        <v>GA</v>
      </c>
      <c r="R58" s="212"/>
      <c r="S58" s="21">
        <v>3</v>
      </c>
      <c r="T58" s="21" t="s">
        <v>53</v>
      </c>
      <c r="U58" s="21">
        <v>8</v>
      </c>
      <c r="AA58" s="76" t="e">
        <f>HLOOKUP(Roster!$E$5,Team!$BL$2:$MK$128,57,FALSE)</f>
        <v>#N/A</v>
      </c>
      <c r="AB58" s="76" t="e">
        <f>HLOOKUP(Roster!$E$6,Team!$BL$2:$MK$128,57,FALSE)</f>
        <v>#N/A</v>
      </c>
      <c r="AC58" s="76" t="e">
        <f>HLOOKUP(Roster!$E$7,Team!$BL$2:$MK$128,57,FALSE)</f>
        <v>#N/A</v>
      </c>
      <c r="AD58" s="76" t="e">
        <f>HLOOKUP(Roster!$E$8,Team!$BL$2:$MK$128,57,FALSE)</f>
        <v>#N/A</v>
      </c>
      <c r="AE58" s="76" t="e">
        <f>HLOOKUP(Roster!$E$9,Team!$BL$2:$MK$128,57,FALSE)</f>
        <v>#N/A</v>
      </c>
      <c r="AF58" s="76" t="e">
        <f>HLOOKUP(Roster!$E$10,Team!$BL$2:$MK$128,57,FALSE)</f>
        <v>#N/A</v>
      </c>
      <c r="AG58" s="76" t="e">
        <f>HLOOKUP(Roster!$E$11,Team!$BL$2:$MK$128,57,FALSE)</f>
        <v>#N/A</v>
      </c>
      <c r="AH58" s="76" t="e">
        <f>HLOOKUP(Roster!$E$12,Team!$BL$2:$MK$128,57,FALSE)</f>
        <v>#N/A</v>
      </c>
      <c r="AI58" s="76" t="e">
        <f>HLOOKUP(Roster!$E$13,Team!$BL$2:$MK$128,57,FALSE)</f>
        <v>#N/A</v>
      </c>
      <c r="AJ58" s="76" t="e">
        <f>HLOOKUP(Roster!$E$14,Team!$BL$2:$MK$128,57,FALSE)</f>
        <v>#N/A</v>
      </c>
      <c r="AK58" s="76" t="e">
        <f>HLOOKUP(Roster!$E$15,Team!$BL$2:$MK$128,57,FALSE)</f>
        <v>#N/A</v>
      </c>
      <c r="AL58" s="76" t="e">
        <f>HLOOKUP(Roster!$E$16,Team!$BL$2:$MK$128,57,FALSE)</f>
        <v>#N/A</v>
      </c>
      <c r="AM58" s="76" t="e">
        <f>HLOOKUP(Roster!$E$17,Team!$BL$2:$MK$128,57,FALSE)</f>
        <v>#N/A</v>
      </c>
      <c r="AN58" s="76" t="e">
        <f>HLOOKUP(Roster!$E$18,Team!$BL$2:$MK$128,57,FALSE)</f>
        <v>#N/A</v>
      </c>
      <c r="AO58" s="76" t="e">
        <f>HLOOKUP(Roster!$E$19,Team!$BL$2:$MK$128,57,FALSE)</f>
        <v>#N/A</v>
      </c>
      <c r="AP58" s="76" t="e">
        <f>HLOOKUP(Roster!$E$20,Team!$BL$2:$MK$128,57,FALSE)</f>
        <v>#N/A</v>
      </c>
      <c r="AR58" s="108">
        <f t="shared" si="1"/>
        <v>0</v>
      </c>
      <c r="AS58" s="108">
        <f t="shared" si="2"/>
        <v>0</v>
      </c>
      <c r="AT58" s="108">
        <f t="shared" si="3"/>
        <v>0</v>
      </c>
      <c r="AU58" s="108">
        <f t="shared" si="4"/>
        <v>0</v>
      </c>
      <c r="AV58" s="108">
        <f t="shared" si="5"/>
        <v>0</v>
      </c>
      <c r="AW58" s="108">
        <f t="shared" si="6"/>
        <v>0</v>
      </c>
      <c r="AX58" s="108">
        <f t="shared" si="7"/>
        <v>0</v>
      </c>
      <c r="AY58" s="108">
        <f t="shared" si="8"/>
        <v>0</v>
      </c>
      <c r="AZ58" s="108">
        <f t="shared" si="9"/>
        <v>0</v>
      </c>
      <c r="BA58" s="108">
        <f t="shared" si="10"/>
        <v>0</v>
      </c>
      <c r="BB58" s="108">
        <f t="shared" si="11"/>
        <v>0</v>
      </c>
      <c r="BC58" s="108">
        <f t="shared" si="12"/>
        <v>0</v>
      </c>
      <c r="BD58" s="108">
        <f t="shared" si="13"/>
        <v>0</v>
      </c>
      <c r="BE58" s="108">
        <f t="shared" si="14"/>
        <v>0</v>
      </c>
      <c r="BF58" s="108">
        <f t="shared" si="15"/>
        <v>0</v>
      </c>
      <c r="BG58" s="108">
        <f t="shared" si="16"/>
        <v>0</v>
      </c>
      <c r="BL58" s="75" t="s">
        <v>341</v>
      </c>
      <c r="BM58" s="74" t="s">
        <v>306</v>
      </c>
      <c r="BN58" s="75" t="s">
        <v>341</v>
      </c>
      <c r="BO58" s="75" t="s">
        <v>341</v>
      </c>
      <c r="BP58" s="75" t="s">
        <v>341</v>
      </c>
      <c r="BQ58" s="74"/>
      <c r="BR58" s="74" t="s">
        <v>306</v>
      </c>
      <c r="BS58" s="74" t="s">
        <v>306</v>
      </c>
      <c r="BT58" s="74" t="s">
        <v>306</v>
      </c>
      <c r="BU58" s="74" t="s">
        <v>306</v>
      </c>
      <c r="BV58" s="74"/>
      <c r="BW58" s="80" t="s">
        <v>259</v>
      </c>
      <c r="BX58" s="80" t="s">
        <v>306</v>
      </c>
      <c r="BY58" s="80" t="s">
        <v>306</v>
      </c>
      <c r="BZ58" s="80" t="s">
        <v>306</v>
      </c>
      <c r="CA58" s="80" t="s">
        <v>306</v>
      </c>
      <c r="CB58" s="80" t="s">
        <v>259</v>
      </c>
      <c r="CC58" s="77"/>
      <c r="CD58" s="75" t="s">
        <v>341</v>
      </c>
      <c r="CE58" s="80" t="s">
        <v>306</v>
      </c>
      <c r="CF58" s="75" t="s">
        <v>341</v>
      </c>
      <c r="CG58" s="80" t="s">
        <v>306</v>
      </c>
      <c r="CH58" s="75" t="s">
        <v>341</v>
      </c>
      <c r="CI58" s="77"/>
      <c r="CJ58" s="80" t="s">
        <v>306</v>
      </c>
      <c r="CK58" s="80" t="s">
        <v>259</v>
      </c>
      <c r="CL58" s="81" t="s">
        <v>317</v>
      </c>
      <c r="CM58" s="80" t="s">
        <v>306</v>
      </c>
      <c r="CN58" s="80" t="s">
        <v>306</v>
      </c>
      <c r="CO58" s="80" t="s">
        <v>259</v>
      </c>
      <c r="CP58" s="80" t="s">
        <v>306</v>
      </c>
      <c r="CQ58" s="80" t="s">
        <v>306</v>
      </c>
      <c r="CR58" s="80" t="s">
        <v>306</v>
      </c>
      <c r="CS58" s="80" t="s">
        <v>306</v>
      </c>
      <c r="CT58" s="80" t="s">
        <v>306</v>
      </c>
      <c r="CU58" s="80"/>
      <c r="CV58" s="74" t="s">
        <v>306</v>
      </c>
      <c r="CW58" s="74" t="s">
        <v>306</v>
      </c>
      <c r="CX58" s="74" t="s">
        <v>306</v>
      </c>
      <c r="CY58" s="74" t="s">
        <v>306</v>
      </c>
      <c r="CZ58" s="74" t="s">
        <v>306</v>
      </c>
      <c r="DA58" s="80"/>
      <c r="DB58" s="75" t="s">
        <v>341</v>
      </c>
      <c r="DC58" s="74" t="s">
        <v>306</v>
      </c>
      <c r="DD58" s="74" t="s">
        <v>306</v>
      </c>
      <c r="DE58" s="74" t="s">
        <v>306</v>
      </c>
      <c r="DF58" s="74" t="s">
        <v>306</v>
      </c>
      <c r="DG58" s="75" t="s">
        <v>341</v>
      </c>
      <c r="DH58" s="75"/>
      <c r="DI58" s="75" t="s">
        <v>341</v>
      </c>
      <c r="DJ58" s="74" t="s">
        <v>306</v>
      </c>
      <c r="DK58" s="74" t="s">
        <v>306</v>
      </c>
      <c r="DL58" s="75" t="s">
        <v>341</v>
      </c>
      <c r="DM58" s="75" t="s">
        <v>341</v>
      </c>
      <c r="DN58" s="75" t="s">
        <v>341</v>
      </c>
      <c r="DO58" s="75"/>
      <c r="DP58" s="75" t="s">
        <v>341</v>
      </c>
      <c r="DQ58" s="74" t="s">
        <v>306</v>
      </c>
      <c r="DR58" s="75" t="s">
        <v>341</v>
      </c>
      <c r="DS58" s="74" t="s">
        <v>306</v>
      </c>
      <c r="DT58" s="75" t="s">
        <v>341</v>
      </c>
      <c r="DU58" s="75"/>
      <c r="DV58" s="74" t="s">
        <v>306</v>
      </c>
      <c r="DW58" s="74" t="s">
        <v>306</v>
      </c>
      <c r="DX58" s="75" t="s">
        <v>341</v>
      </c>
      <c r="DY58" s="75" t="s">
        <v>341</v>
      </c>
      <c r="DZ58" s="74" t="s">
        <v>306</v>
      </c>
      <c r="EA58" s="74" t="s">
        <v>306</v>
      </c>
      <c r="EB58" s="75" t="s">
        <v>341</v>
      </c>
      <c r="EC58" s="74" t="s">
        <v>306</v>
      </c>
      <c r="ED58" s="74" t="s">
        <v>306</v>
      </c>
      <c r="EE58" s="74"/>
      <c r="EF58" s="75" t="s">
        <v>341</v>
      </c>
      <c r="EG58" s="74" t="s">
        <v>306</v>
      </c>
      <c r="EH58" s="75" t="s">
        <v>341</v>
      </c>
      <c r="EI58" s="74" t="s">
        <v>306</v>
      </c>
      <c r="EJ58" s="75" t="s">
        <v>341</v>
      </c>
      <c r="EK58" s="75"/>
      <c r="EL58" s="74" t="s">
        <v>306</v>
      </c>
      <c r="EM58" s="74" t="s">
        <v>306</v>
      </c>
      <c r="EN58" s="75" t="s">
        <v>341</v>
      </c>
      <c r="EO58" s="74" t="s">
        <v>306</v>
      </c>
      <c r="EP58" s="74" t="s">
        <v>306</v>
      </c>
      <c r="EQ58" s="75"/>
      <c r="ER58" s="75" t="s">
        <v>341</v>
      </c>
      <c r="ES58" s="74" t="s">
        <v>306</v>
      </c>
      <c r="ET58" s="74" t="s">
        <v>306</v>
      </c>
      <c r="EU58" s="74" t="s">
        <v>306</v>
      </c>
      <c r="EV58" s="75" t="s">
        <v>341</v>
      </c>
      <c r="EW58" s="75" t="s">
        <v>341</v>
      </c>
      <c r="EX58" s="75" t="s">
        <v>341</v>
      </c>
      <c r="EY58" s="75"/>
      <c r="EZ58" s="75" t="s">
        <v>341</v>
      </c>
      <c r="FA58" s="74" t="s">
        <v>306</v>
      </c>
      <c r="FB58" s="74" t="s">
        <v>306</v>
      </c>
      <c r="FC58" s="75" t="s">
        <v>341</v>
      </c>
      <c r="FD58" s="75" t="s">
        <v>341</v>
      </c>
      <c r="FE58" s="75" t="s">
        <v>341</v>
      </c>
      <c r="FF58" s="75"/>
      <c r="FG58" s="80" t="s">
        <v>306</v>
      </c>
      <c r="FH58" s="80" t="s">
        <v>259</v>
      </c>
      <c r="FI58" s="80" t="s">
        <v>306</v>
      </c>
      <c r="FJ58" s="80" t="s">
        <v>306</v>
      </c>
      <c r="FK58" s="80" t="s">
        <v>306</v>
      </c>
      <c r="FL58" s="75"/>
      <c r="FM58" s="74" t="s">
        <v>306</v>
      </c>
      <c r="FN58" s="74" t="s">
        <v>306</v>
      </c>
      <c r="FO58" s="75" t="s">
        <v>341</v>
      </c>
      <c r="FP58" s="75" t="s">
        <v>341</v>
      </c>
      <c r="FQ58" s="74" t="s">
        <v>306</v>
      </c>
      <c r="FR58" s="74"/>
      <c r="FS58" s="75" t="s">
        <v>341</v>
      </c>
      <c r="FT58" s="74" t="s">
        <v>306</v>
      </c>
      <c r="FU58" s="75" t="s">
        <v>341</v>
      </c>
      <c r="FV58" s="74" t="s">
        <v>306</v>
      </c>
      <c r="FW58" s="75" t="s">
        <v>341</v>
      </c>
      <c r="FX58" s="75" t="s">
        <v>341</v>
      </c>
      <c r="FY58" s="75"/>
      <c r="FZ58" s="74" t="s">
        <v>306</v>
      </c>
      <c r="GA58" s="74"/>
      <c r="GB58" s="74" t="s">
        <v>306</v>
      </c>
      <c r="GC58" s="74" t="s">
        <v>306</v>
      </c>
      <c r="GD58" s="75" t="s">
        <v>341</v>
      </c>
      <c r="GE58" s="75" t="s">
        <v>341</v>
      </c>
      <c r="GF58" s="74" t="s">
        <v>306</v>
      </c>
      <c r="GG58" s="75"/>
      <c r="GH58" s="80" t="s">
        <v>306</v>
      </c>
      <c r="GI58" s="80" t="s">
        <v>259</v>
      </c>
      <c r="GJ58" s="80" t="s">
        <v>306</v>
      </c>
      <c r="GK58" s="80" t="s">
        <v>306</v>
      </c>
      <c r="GL58" s="80" t="s">
        <v>306</v>
      </c>
      <c r="GM58" s="80"/>
      <c r="GO58" s="74" t="s">
        <v>306</v>
      </c>
      <c r="GP58" s="74" t="s">
        <v>306</v>
      </c>
      <c r="GS58" s="75" t="s">
        <v>341</v>
      </c>
      <c r="GT58" s="74" t="s">
        <v>306</v>
      </c>
      <c r="GU58" s="75" t="s">
        <v>341</v>
      </c>
      <c r="GV58" s="75" t="s">
        <v>341</v>
      </c>
      <c r="GW58" s="75" t="s">
        <v>341</v>
      </c>
      <c r="GX58" s="74" t="s">
        <v>306</v>
      </c>
      <c r="GY58" s="75" t="s">
        <v>341</v>
      </c>
      <c r="GZ58" s="75" t="s">
        <v>341</v>
      </c>
      <c r="HA58" s="75" t="s">
        <v>341</v>
      </c>
      <c r="HB58" s="75" t="s">
        <v>341</v>
      </c>
      <c r="HC58" s="74" t="s">
        <v>306</v>
      </c>
      <c r="HD58" s="75" t="s">
        <v>341</v>
      </c>
      <c r="HE58" s="75"/>
      <c r="HF58" s="75" t="s">
        <v>341</v>
      </c>
      <c r="HG58" s="74" t="s">
        <v>306</v>
      </c>
      <c r="HH58" s="74" t="s">
        <v>306</v>
      </c>
      <c r="HI58" s="75" t="s">
        <v>341</v>
      </c>
      <c r="HJ58" s="75" t="s">
        <v>341</v>
      </c>
      <c r="HK58" s="74" t="s">
        <v>306</v>
      </c>
      <c r="HL58" s="75" t="s">
        <v>341</v>
      </c>
      <c r="HM58" s="75"/>
      <c r="HN58" s="75" t="s">
        <v>341</v>
      </c>
      <c r="HO58" s="75" t="s">
        <v>341</v>
      </c>
      <c r="HP58" s="74" t="s">
        <v>306</v>
      </c>
      <c r="HQ58" s="74" t="s">
        <v>306</v>
      </c>
      <c r="HR58" s="75" t="s">
        <v>341</v>
      </c>
      <c r="HS58" s="75" t="s">
        <v>341</v>
      </c>
      <c r="HT58" s="75"/>
      <c r="HU58" s="75" t="s">
        <v>341</v>
      </c>
      <c r="HV58" s="74" t="s">
        <v>306</v>
      </c>
      <c r="HW58" s="75" t="s">
        <v>341</v>
      </c>
      <c r="HX58" s="75" t="s">
        <v>341</v>
      </c>
      <c r="HY58" s="75" t="s">
        <v>341</v>
      </c>
      <c r="HZ58" s="75" t="s">
        <v>341</v>
      </c>
      <c r="IA58" s="75"/>
      <c r="IB58" s="80" t="s">
        <v>306</v>
      </c>
      <c r="IC58" s="80" t="s">
        <v>259</v>
      </c>
      <c r="ID58" s="80" t="s">
        <v>259</v>
      </c>
      <c r="IE58" s="80" t="s">
        <v>259</v>
      </c>
      <c r="IF58" s="80" t="s">
        <v>306</v>
      </c>
      <c r="IG58" s="80" t="s">
        <v>306</v>
      </c>
      <c r="IH58" s="80"/>
      <c r="II58" s="74" t="s">
        <v>306</v>
      </c>
      <c r="IJ58" s="74" t="s">
        <v>306</v>
      </c>
      <c r="IK58" s="74" t="s">
        <v>306</v>
      </c>
      <c r="IL58" s="74" t="s">
        <v>306</v>
      </c>
      <c r="IM58" s="74" t="s">
        <v>306</v>
      </c>
      <c r="IN58" s="80"/>
      <c r="IP58" s="75" t="s">
        <v>341</v>
      </c>
      <c r="IS58" s="75" t="s">
        <v>341</v>
      </c>
      <c r="IT58" s="74" t="s">
        <v>306</v>
      </c>
      <c r="IW58" s="75" t="s">
        <v>341</v>
      </c>
      <c r="IX58" s="75" t="s">
        <v>341</v>
      </c>
      <c r="IY58" s="74" t="s">
        <v>306</v>
      </c>
      <c r="IZ58" s="75" t="s">
        <v>341</v>
      </c>
      <c r="JA58" s="75" t="s">
        <v>341</v>
      </c>
      <c r="JC58" s="80" t="s">
        <v>306</v>
      </c>
      <c r="JD58" s="81" t="s">
        <v>341</v>
      </c>
      <c r="JE58" s="80" t="s">
        <v>306</v>
      </c>
      <c r="JF58" s="80" t="s">
        <v>259</v>
      </c>
      <c r="JG58" s="80" t="s">
        <v>259</v>
      </c>
      <c r="JH58" s="80" t="s">
        <v>259</v>
      </c>
      <c r="JI58" s="80" t="s">
        <v>259</v>
      </c>
      <c r="JJ58" s="80" t="s">
        <v>306</v>
      </c>
      <c r="JK58" s="80" t="s">
        <v>306</v>
      </c>
      <c r="JL58" s="80"/>
      <c r="JM58" s="75" t="s">
        <v>341</v>
      </c>
      <c r="JN58" s="74" t="s">
        <v>306</v>
      </c>
      <c r="JO58" s="75" t="s">
        <v>341</v>
      </c>
      <c r="JP58" s="80"/>
      <c r="JQ58" s="75" t="s">
        <v>341</v>
      </c>
      <c r="JR58" s="74" t="s">
        <v>306</v>
      </c>
      <c r="JS58" s="74" t="s">
        <v>306</v>
      </c>
      <c r="JT58" s="74" t="s">
        <v>306</v>
      </c>
      <c r="JU58" s="75" t="s">
        <v>341</v>
      </c>
      <c r="JV58" s="75" t="s">
        <v>341</v>
      </c>
    </row>
    <row r="59" spans="1:282" x14ac:dyDescent="0.15">
      <c r="A59" s="214" t="s">
        <v>92</v>
      </c>
      <c r="B59" s="6" t="s">
        <v>19</v>
      </c>
      <c r="C59" s="6">
        <v>75000</v>
      </c>
      <c r="D59" s="6">
        <v>1</v>
      </c>
      <c r="E59" s="6">
        <v>7</v>
      </c>
      <c r="F59" s="6">
        <v>2</v>
      </c>
      <c r="G59" s="6" t="s">
        <v>36</v>
      </c>
      <c r="H59" s="6" t="s">
        <v>40</v>
      </c>
      <c r="I59" s="6" t="s">
        <v>38</v>
      </c>
      <c r="J59" s="21" t="s">
        <v>100</v>
      </c>
      <c r="K59" s="21">
        <v>2</v>
      </c>
      <c r="L59" s="21">
        <v>1</v>
      </c>
      <c r="M59" s="21">
        <v>2</v>
      </c>
      <c r="N59" s="21">
        <v>2</v>
      </c>
      <c r="O59" s="21">
        <v>0</v>
      </c>
      <c r="P59" s="21" t="str">
        <f>IF(TeamT[[#This Row],[General]]+TeamT[[#This Row],[Agility]]+TeamT[[#This Row],[Strength]]+TeamT[[#This Row],[Passing]]+TeamT[[#This Row],[Mutation]]&gt;0,IF(TeamT[[#This Row],[General]]=1,"G","")&amp;IF(TeamT[[#This Row],[Agility]]=1,"A","")&amp;IF(TeamT[[#This Row],[Strength]]=1,"S","")&amp;IF(TeamT[[#This Row],[Passing]]=1,"P","")&amp;IF(TeamT[[#This Row],[Mutation]]=1,"M",""),"Star")</f>
        <v>A</v>
      </c>
      <c r="Q59" s="21" t="str">
        <f>IF(TeamT[[#This Row],[General]]=2,"G","")&amp;IF(TeamT[[#This Row],[Agility]]=2,"A","")&amp;IF(TeamT[[#This Row],[Strength]]=2,"S","")&amp;IF(TeamT[[#This Row],[Passing]]=2,"P","")&amp;IF(TeamT[[#This Row],[Mutation]]=2,"M","")</f>
        <v>GSP</v>
      </c>
      <c r="R59" s="212"/>
      <c r="S59" s="21">
        <v>3</v>
      </c>
      <c r="T59" s="21">
        <v>5</v>
      </c>
      <c r="U59" s="21">
        <v>8</v>
      </c>
      <c r="AA59" s="76" t="e">
        <f>HLOOKUP(Roster!$E$5,Team!$BL$2:$MK$128,58,FALSE)</f>
        <v>#N/A</v>
      </c>
      <c r="AB59" s="76" t="e">
        <f>HLOOKUP(Roster!$E$6,Team!$BL$2:$MK$128,58,FALSE)</f>
        <v>#N/A</v>
      </c>
      <c r="AC59" s="76" t="e">
        <f>HLOOKUP(Roster!$E$7,Team!$BL$2:$MK$128,58,FALSE)</f>
        <v>#N/A</v>
      </c>
      <c r="AD59" s="76" t="e">
        <f>HLOOKUP(Roster!$E$8,Team!$BL$2:$MK$128,58,FALSE)</f>
        <v>#N/A</v>
      </c>
      <c r="AE59" s="76" t="e">
        <f>HLOOKUP(Roster!$E$9,Team!$BL$2:$MK$128,58,FALSE)</f>
        <v>#N/A</v>
      </c>
      <c r="AF59" s="76" t="e">
        <f>HLOOKUP(Roster!$E$10,Team!$BL$2:$MK$128,58,FALSE)</f>
        <v>#N/A</v>
      </c>
      <c r="AG59" s="76" t="e">
        <f>HLOOKUP(Roster!$E$11,Team!$BL$2:$MK$128,58,FALSE)</f>
        <v>#N/A</v>
      </c>
      <c r="AH59" s="76" t="e">
        <f>HLOOKUP(Roster!$E$12,Team!$BL$2:$MK$128,58,FALSE)</f>
        <v>#N/A</v>
      </c>
      <c r="AI59" s="76" t="e">
        <f>HLOOKUP(Roster!$E$13,Team!$BL$2:$MK$128,58,FALSE)</f>
        <v>#N/A</v>
      </c>
      <c r="AJ59" s="76" t="e">
        <f>HLOOKUP(Roster!$E$14,Team!$BL$2:$MK$128,58,FALSE)</f>
        <v>#N/A</v>
      </c>
      <c r="AK59" s="76" t="e">
        <f>HLOOKUP(Roster!$E$15,Team!$BL$2:$MK$128,58,FALSE)</f>
        <v>#N/A</v>
      </c>
      <c r="AL59" s="76" t="e">
        <f>HLOOKUP(Roster!$E$16,Team!$BL$2:$MK$128,58,FALSE)</f>
        <v>#N/A</v>
      </c>
      <c r="AM59" s="76" t="e">
        <f>HLOOKUP(Roster!$E$17,Team!$BL$2:$MK$128,58,FALSE)</f>
        <v>#N/A</v>
      </c>
      <c r="AN59" s="76" t="e">
        <f>HLOOKUP(Roster!$E$18,Team!$BL$2:$MK$128,58,FALSE)</f>
        <v>#N/A</v>
      </c>
      <c r="AO59" s="76" t="e">
        <f>HLOOKUP(Roster!$E$19,Team!$BL$2:$MK$128,58,FALSE)</f>
        <v>#N/A</v>
      </c>
      <c r="AP59" s="76" t="e">
        <f>HLOOKUP(Roster!$E$20,Team!$BL$2:$MK$128,58,FALSE)</f>
        <v>#N/A</v>
      </c>
      <c r="AR59" s="108">
        <f t="shared" si="1"/>
        <v>0</v>
      </c>
      <c r="AS59" s="108">
        <f t="shared" si="2"/>
        <v>0</v>
      </c>
      <c r="AT59" s="108">
        <f t="shared" si="3"/>
        <v>0</v>
      </c>
      <c r="AU59" s="108">
        <f t="shared" si="4"/>
        <v>0</v>
      </c>
      <c r="AV59" s="108">
        <f t="shared" si="5"/>
        <v>0</v>
      </c>
      <c r="AW59" s="108">
        <f t="shared" si="6"/>
        <v>0</v>
      </c>
      <c r="AX59" s="108">
        <f t="shared" si="7"/>
        <v>0</v>
      </c>
      <c r="AY59" s="108">
        <f t="shared" si="8"/>
        <v>0</v>
      </c>
      <c r="AZ59" s="108">
        <f t="shared" si="9"/>
        <v>0</v>
      </c>
      <c r="BA59" s="108">
        <f t="shared" si="10"/>
        <v>0</v>
      </c>
      <c r="BB59" s="108">
        <f t="shared" si="11"/>
        <v>0</v>
      </c>
      <c r="BC59" s="108">
        <f t="shared" si="12"/>
        <v>0</v>
      </c>
      <c r="BD59" s="108">
        <f t="shared" si="13"/>
        <v>0</v>
      </c>
      <c r="BE59" s="108">
        <f t="shared" si="14"/>
        <v>0</v>
      </c>
      <c r="BF59" s="108">
        <f t="shared" si="15"/>
        <v>0</v>
      </c>
      <c r="BG59" s="108">
        <f t="shared" si="16"/>
        <v>0</v>
      </c>
      <c r="BL59" s="75" t="s">
        <v>342</v>
      </c>
      <c r="BM59" s="75" t="s">
        <v>307</v>
      </c>
      <c r="BN59" s="75" t="s">
        <v>342</v>
      </c>
      <c r="BO59" s="75" t="s">
        <v>342</v>
      </c>
      <c r="BP59" s="75" t="s">
        <v>342</v>
      </c>
      <c r="BQ59" s="75"/>
      <c r="BR59" s="75" t="s">
        <v>307</v>
      </c>
      <c r="BS59" s="75" t="s">
        <v>307</v>
      </c>
      <c r="BT59" s="75" t="s">
        <v>307</v>
      </c>
      <c r="BU59" s="75" t="s">
        <v>307</v>
      </c>
      <c r="BV59" s="75"/>
      <c r="BW59" s="81" t="s">
        <v>225</v>
      </c>
      <c r="BX59" s="81" t="s">
        <v>307</v>
      </c>
      <c r="BY59" s="81" t="s">
        <v>307</v>
      </c>
      <c r="BZ59" s="81" t="s">
        <v>307</v>
      </c>
      <c r="CA59" s="81" t="s">
        <v>307</v>
      </c>
      <c r="CB59" s="81" t="s">
        <v>225</v>
      </c>
      <c r="CC59" s="77"/>
      <c r="CD59" s="75" t="s">
        <v>342</v>
      </c>
      <c r="CE59" s="81" t="s">
        <v>307</v>
      </c>
      <c r="CF59" s="75" t="s">
        <v>342</v>
      </c>
      <c r="CG59" s="81" t="s">
        <v>307</v>
      </c>
      <c r="CH59" s="75" t="s">
        <v>342</v>
      </c>
      <c r="CI59" s="77"/>
      <c r="CJ59" s="81" t="s">
        <v>307</v>
      </c>
      <c r="CK59" s="81" t="s">
        <v>225</v>
      </c>
      <c r="CL59" s="81" t="s">
        <v>318</v>
      </c>
      <c r="CM59" s="81" t="s">
        <v>307</v>
      </c>
      <c r="CN59" s="81" t="s">
        <v>307</v>
      </c>
      <c r="CO59" s="81" t="s">
        <v>225</v>
      </c>
      <c r="CP59" s="81" t="s">
        <v>307</v>
      </c>
      <c r="CQ59" s="81" t="s">
        <v>307</v>
      </c>
      <c r="CR59" s="81" t="s">
        <v>307</v>
      </c>
      <c r="CS59" s="81" t="s">
        <v>307</v>
      </c>
      <c r="CT59" s="81" t="s">
        <v>307</v>
      </c>
      <c r="CU59" s="81"/>
      <c r="CV59" s="75" t="s">
        <v>307</v>
      </c>
      <c r="CW59" s="75" t="s">
        <v>307</v>
      </c>
      <c r="CX59" s="75" t="s">
        <v>307</v>
      </c>
      <c r="CY59" s="75" t="s">
        <v>307</v>
      </c>
      <c r="CZ59" s="75" t="s">
        <v>307</v>
      </c>
      <c r="DA59" s="81"/>
      <c r="DB59" s="75" t="s">
        <v>342</v>
      </c>
      <c r="DC59" s="75" t="s">
        <v>307</v>
      </c>
      <c r="DD59" s="75" t="s">
        <v>307</v>
      </c>
      <c r="DE59" s="75" t="s">
        <v>307</v>
      </c>
      <c r="DF59" s="75" t="s">
        <v>307</v>
      </c>
      <c r="DG59" s="75" t="s">
        <v>342</v>
      </c>
      <c r="DH59" s="75"/>
      <c r="DI59" s="75" t="s">
        <v>342</v>
      </c>
      <c r="DJ59" s="75" t="s">
        <v>307</v>
      </c>
      <c r="DK59" s="75" t="s">
        <v>307</v>
      </c>
      <c r="DL59" s="75" t="s">
        <v>342</v>
      </c>
      <c r="DM59" s="75" t="s">
        <v>342</v>
      </c>
      <c r="DN59" s="75" t="s">
        <v>342</v>
      </c>
      <c r="DO59" s="75"/>
      <c r="DP59" s="75" t="s">
        <v>342</v>
      </c>
      <c r="DQ59" s="75" t="s">
        <v>307</v>
      </c>
      <c r="DR59" s="75" t="s">
        <v>342</v>
      </c>
      <c r="DS59" s="75" t="s">
        <v>307</v>
      </c>
      <c r="DT59" s="75" t="s">
        <v>342</v>
      </c>
      <c r="DU59" s="75"/>
      <c r="DV59" s="75" t="s">
        <v>307</v>
      </c>
      <c r="DW59" s="75" t="s">
        <v>307</v>
      </c>
      <c r="DX59" s="75" t="s">
        <v>342</v>
      </c>
      <c r="DY59" s="75" t="s">
        <v>342</v>
      </c>
      <c r="DZ59" s="75" t="s">
        <v>307</v>
      </c>
      <c r="EA59" s="75" t="s">
        <v>307</v>
      </c>
      <c r="EB59" s="75" t="s">
        <v>342</v>
      </c>
      <c r="EC59" s="75" t="s">
        <v>307</v>
      </c>
      <c r="ED59" s="75" t="s">
        <v>307</v>
      </c>
      <c r="EE59" s="75"/>
      <c r="EF59" s="75" t="s">
        <v>342</v>
      </c>
      <c r="EG59" s="75" t="s">
        <v>307</v>
      </c>
      <c r="EH59" s="75" t="s">
        <v>342</v>
      </c>
      <c r="EI59" s="75" t="s">
        <v>307</v>
      </c>
      <c r="EJ59" s="75" t="s">
        <v>342</v>
      </c>
      <c r="EK59" s="75"/>
      <c r="EL59" s="75" t="s">
        <v>307</v>
      </c>
      <c r="EM59" s="75" t="s">
        <v>307</v>
      </c>
      <c r="EN59" s="75" t="s">
        <v>342</v>
      </c>
      <c r="EO59" s="75" t="s">
        <v>307</v>
      </c>
      <c r="EP59" s="75" t="s">
        <v>307</v>
      </c>
      <c r="EQ59" s="75"/>
      <c r="ER59" s="75" t="s">
        <v>342</v>
      </c>
      <c r="ES59" s="75" t="s">
        <v>307</v>
      </c>
      <c r="ET59" s="75" t="s">
        <v>307</v>
      </c>
      <c r="EU59" s="75" t="s">
        <v>307</v>
      </c>
      <c r="EV59" s="75" t="s">
        <v>342</v>
      </c>
      <c r="EW59" s="75" t="s">
        <v>342</v>
      </c>
      <c r="EX59" s="75" t="s">
        <v>342</v>
      </c>
      <c r="EY59" s="75"/>
      <c r="EZ59" s="75" t="s">
        <v>342</v>
      </c>
      <c r="FA59" s="75" t="s">
        <v>307</v>
      </c>
      <c r="FB59" s="75" t="s">
        <v>307</v>
      </c>
      <c r="FC59" s="75" t="s">
        <v>342</v>
      </c>
      <c r="FD59" s="75" t="s">
        <v>342</v>
      </c>
      <c r="FE59" s="75" t="s">
        <v>342</v>
      </c>
      <c r="FF59" s="75"/>
      <c r="FG59" s="81" t="s">
        <v>307</v>
      </c>
      <c r="FH59" s="81" t="s">
        <v>225</v>
      </c>
      <c r="FI59" s="81" t="s">
        <v>307</v>
      </c>
      <c r="FJ59" s="81" t="s">
        <v>307</v>
      </c>
      <c r="FK59" s="81" t="s">
        <v>307</v>
      </c>
      <c r="FL59" s="75"/>
      <c r="FM59" s="75" t="s">
        <v>307</v>
      </c>
      <c r="FN59" s="75" t="s">
        <v>307</v>
      </c>
      <c r="FO59" s="75" t="s">
        <v>342</v>
      </c>
      <c r="FP59" s="75" t="s">
        <v>342</v>
      </c>
      <c r="FQ59" s="75" t="s">
        <v>307</v>
      </c>
      <c r="FR59" s="75"/>
      <c r="FS59" s="75" t="s">
        <v>342</v>
      </c>
      <c r="FT59" s="75" t="s">
        <v>307</v>
      </c>
      <c r="FU59" s="75" t="s">
        <v>342</v>
      </c>
      <c r="FV59" s="75" t="s">
        <v>307</v>
      </c>
      <c r="FW59" s="75" t="s">
        <v>342</v>
      </c>
      <c r="FX59" s="75" t="s">
        <v>342</v>
      </c>
      <c r="FY59" s="75"/>
      <c r="FZ59" s="75" t="s">
        <v>307</v>
      </c>
      <c r="GA59" s="75"/>
      <c r="GB59" s="75" t="s">
        <v>307</v>
      </c>
      <c r="GC59" s="75" t="s">
        <v>307</v>
      </c>
      <c r="GD59" s="75" t="s">
        <v>342</v>
      </c>
      <c r="GE59" s="75" t="s">
        <v>342</v>
      </c>
      <c r="GF59" s="75" t="s">
        <v>307</v>
      </c>
      <c r="GG59" s="75"/>
      <c r="GH59" s="81" t="s">
        <v>307</v>
      </c>
      <c r="GI59" s="81" t="s">
        <v>225</v>
      </c>
      <c r="GJ59" s="81" t="s">
        <v>307</v>
      </c>
      <c r="GK59" s="81" t="s">
        <v>307</v>
      </c>
      <c r="GL59" s="81" t="s">
        <v>307</v>
      </c>
      <c r="GM59" s="81"/>
      <c r="GO59" s="75" t="s">
        <v>307</v>
      </c>
      <c r="GP59" s="75" t="s">
        <v>307</v>
      </c>
      <c r="GS59" s="75" t="s">
        <v>342</v>
      </c>
      <c r="GT59" s="75" t="s">
        <v>307</v>
      </c>
      <c r="GU59" s="75" t="s">
        <v>342</v>
      </c>
      <c r="GV59" s="75" t="s">
        <v>342</v>
      </c>
      <c r="GW59" s="75" t="s">
        <v>342</v>
      </c>
      <c r="GX59" s="75" t="s">
        <v>307</v>
      </c>
      <c r="GY59" s="75" t="s">
        <v>342</v>
      </c>
      <c r="GZ59" s="75" t="s">
        <v>342</v>
      </c>
      <c r="HA59" s="75" t="s">
        <v>342</v>
      </c>
      <c r="HB59" s="75" t="s">
        <v>342</v>
      </c>
      <c r="HC59" s="75" t="s">
        <v>307</v>
      </c>
      <c r="HD59" s="75" t="s">
        <v>342</v>
      </c>
      <c r="HE59" s="75"/>
      <c r="HF59" s="75" t="s">
        <v>342</v>
      </c>
      <c r="HG59" s="75" t="s">
        <v>307</v>
      </c>
      <c r="HH59" s="75" t="s">
        <v>307</v>
      </c>
      <c r="HI59" s="75" t="s">
        <v>342</v>
      </c>
      <c r="HJ59" s="75" t="s">
        <v>342</v>
      </c>
      <c r="HK59" s="75" t="s">
        <v>307</v>
      </c>
      <c r="HL59" s="75" t="s">
        <v>342</v>
      </c>
      <c r="HM59" s="75"/>
      <c r="HN59" s="75" t="s">
        <v>342</v>
      </c>
      <c r="HO59" s="75" t="s">
        <v>342</v>
      </c>
      <c r="HP59" s="75" t="s">
        <v>307</v>
      </c>
      <c r="HQ59" s="75" t="s">
        <v>307</v>
      </c>
      <c r="HR59" s="75" t="s">
        <v>342</v>
      </c>
      <c r="HS59" s="75" t="s">
        <v>342</v>
      </c>
      <c r="HT59" s="75"/>
      <c r="HU59" s="75" t="s">
        <v>342</v>
      </c>
      <c r="HV59" s="75" t="s">
        <v>307</v>
      </c>
      <c r="HW59" s="75" t="s">
        <v>342</v>
      </c>
      <c r="HX59" s="75" t="s">
        <v>342</v>
      </c>
      <c r="HY59" s="75" t="s">
        <v>342</v>
      </c>
      <c r="HZ59" s="75" t="s">
        <v>342</v>
      </c>
      <c r="IA59" s="75"/>
      <c r="IB59" s="81" t="s">
        <v>307</v>
      </c>
      <c r="IC59" s="81" t="s">
        <v>225</v>
      </c>
      <c r="ID59" s="81" t="s">
        <v>225</v>
      </c>
      <c r="IE59" s="81" t="s">
        <v>225</v>
      </c>
      <c r="IF59" s="81" t="s">
        <v>307</v>
      </c>
      <c r="IG59" s="81" t="s">
        <v>307</v>
      </c>
      <c r="IH59" s="81"/>
      <c r="II59" s="75" t="s">
        <v>307</v>
      </c>
      <c r="IJ59" s="75" t="s">
        <v>307</v>
      </c>
      <c r="IK59" s="75" t="s">
        <v>307</v>
      </c>
      <c r="IL59" s="75" t="s">
        <v>307</v>
      </c>
      <c r="IM59" s="75" t="s">
        <v>307</v>
      </c>
      <c r="IN59" s="81"/>
      <c r="IP59" s="75" t="s">
        <v>342</v>
      </c>
      <c r="IS59" s="75" t="s">
        <v>342</v>
      </c>
      <c r="IT59" s="75" t="s">
        <v>307</v>
      </c>
      <c r="IW59" s="75" t="s">
        <v>342</v>
      </c>
      <c r="IX59" s="75" t="s">
        <v>342</v>
      </c>
      <c r="IY59" s="75" t="s">
        <v>307</v>
      </c>
      <c r="IZ59" s="75" t="s">
        <v>342</v>
      </c>
      <c r="JA59" s="75" t="s">
        <v>342</v>
      </c>
      <c r="JC59" s="81" t="s">
        <v>307</v>
      </c>
      <c r="JD59" s="81" t="s">
        <v>342</v>
      </c>
      <c r="JE59" s="81" t="s">
        <v>307</v>
      </c>
      <c r="JF59" s="81" t="s">
        <v>225</v>
      </c>
      <c r="JG59" s="81" t="s">
        <v>225</v>
      </c>
      <c r="JH59" s="81" t="s">
        <v>225</v>
      </c>
      <c r="JI59" s="81" t="s">
        <v>225</v>
      </c>
      <c r="JJ59" s="81" t="s">
        <v>307</v>
      </c>
      <c r="JK59" s="81" t="s">
        <v>307</v>
      </c>
      <c r="JL59" s="81"/>
      <c r="JM59" s="75" t="s">
        <v>342</v>
      </c>
      <c r="JN59" s="75" t="s">
        <v>307</v>
      </c>
      <c r="JO59" s="75" t="s">
        <v>342</v>
      </c>
      <c r="JP59" s="81"/>
      <c r="JQ59" s="75" t="s">
        <v>342</v>
      </c>
      <c r="JR59" s="75" t="s">
        <v>307</v>
      </c>
      <c r="JS59" s="75" t="s">
        <v>307</v>
      </c>
      <c r="JT59" s="75" t="s">
        <v>307</v>
      </c>
      <c r="JU59" s="75" t="s">
        <v>342</v>
      </c>
      <c r="JV59" s="75" t="s">
        <v>342</v>
      </c>
    </row>
    <row r="60" spans="1:282" x14ac:dyDescent="0.15">
      <c r="A60" s="215" t="s">
        <v>93</v>
      </c>
      <c r="B60" s="6" t="s">
        <v>19</v>
      </c>
      <c r="C60" s="6">
        <v>65000</v>
      </c>
      <c r="D60" s="6">
        <v>1</v>
      </c>
      <c r="E60" s="6">
        <v>6</v>
      </c>
      <c r="F60" s="6">
        <v>2</v>
      </c>
      <c r="G60" s="6" t="s">
        <v>36</v>
      </c>
      <c r="H60" s="6" t="s">
        <v>96</v>
      </c>
      <c r="I60" s="6" t="s">
        <v>38</v>
      </c>
      <c r="J60" s="21" t="s">
        <v>101</v>
      </c>
      <c r="K60" s="21">
        <v>2</v>
      </c>
      <c r="L60" s="21">
        <v>1</v>
      </c>
      <c r="M60" s="21">
        <v>2</v>
      </c>
      <c r="N60" s="21">
        <v>2</v>
      </c>
      <c r="O60" s="21">
        <v>0</v>
      </c>
      <c r="P60" s="21" t="str">
        <f>IF(TeamT[[#This Row],[General]]+TeamT[[#This Row],[Agility]]+TeamT[[#This Row],[Strength]]+TeamT[[#This Row],[Passing]]+TeamT[[#This Row],[Mutation]]&gt;0,IF(TeamT[[#This Row],[General]]=1,"G","")&amp;IF(TeamT[[#This Row],[Agility]]=1,"A","")&amp;IF(TeamT[[#This Row],[Strength]]=1,"S","")&amp;IF(TeamT[[#This Row],[Passing]]=1,"P","")&amp;IF(TeamT[[#This Row],[Mutation]]=1,"M",""),"Star")</f>
        <v>A</v>
      </c>
      <c r="Q60" s="21" t="str">
        <f>IF(TeamT[[#This Row],[General]]=2,"G","")&amp;IF(TeamT[[#This Row],[Agility]]=2,"A","")&amp;IF(TeamT[[#This Row],[Strength]]=2,"S","")&amp;IF(TeamT[[#This Row],[Passing]]=2,"P","")&amp;IF(TeamT[[#This Row],[Mutation]]=2,"M","")</f>
        <v>GSP</v>
      </c>
      <c r="R60" s="212"/>
      <c r="S60" s="21">
        <v>3</v>
      </c>
      <c r="T60" s="21">
        <v>6</v>
      </c>
      <c r="U60" s="21">
        <v>8</v>
      </c>
      <c r="AA60" s="76" t="e">
        <f>HLOOKUP(Roster!$E$5,Team!$BL$2:$MK$128,59,FALSE)</f>
        <v>#N/A</v>
      </c>
      <c r="AB60" s="76" t="e">
        <f>HLOOKUP(Roster!$E$6,Team!$BL$2:$MK$128,59,FALSE)</f>
        <v>#N/A</v>
      </c>
      <c r="AC60" s="76" t="e">
        <f>HLOOKUP(Roster!$E$7,Team!$BL$2:$MK$128,59,FALSE)</f>
        <v>#N/A</v>
      </c>
      <c r="AD60" s="76" t="e">
        <f>HLOOKUP(Roster!$E$8,Team!$BL$2:$MK$128,59,FALSE)</f>
        <v>#N/A</v>
      </c>
      <c r="AE60" s="76" t="e">
        <f>HLOOKUP(Roster!$E$9,Team!$BL$2:$MK$128,59,FALSE)</f>
        <v>#N/A</v>
      </c>
      <c r="AF60" s="76" t="e">
        <f>HLOOKUP(Roster!$E$10,Team!$BL$2:$MK$128,59,FALSE)</f>
        <v>#N/A</v>
      </c>
      <c r="AG60" s="76" t="e">
        <f>HLOOKUP(Roster!$E$11,Team!$BL$2:$MK$128,59,FALSE)</f>
        <v>#N/A</v>
      </c>
      <c r="AH60" s="76" t="e">
        <f>HLOOKUP(Roster!$E$12,Team!$BL$2:$MK$128,59,FALSE)</f>
        <v>#N/A</v>
      </c>
      <c r="AI60" s="76" t="e">
        <f>HLOOKUP(Roster!$E$13,Team!$BL$2:$MK$128,59,FALSE)</f>
        <v>#N/A</v>
      </c>
      <c r="AJ60" s="76" t="e">
        <f>HLOOKUP(Roster!$E$14,Team!$BL$2:$MK$128,59,FALSE)</f>
        <v>#N/A</v>
      </c>
      <c r="AK60" s="76" t="e">
        <f>HLOOKUP(Roster!$E$15,Team!$BL$2:$MK$128,59,FALSE)</f>
        <v>#N/A</v>
      </c>
      <c r="AL60" s="76" t="e">
        <f>HLOOKUP(Roster!$E$16,Team!$BL$2:$MK$128,59,FALSE)</f>
        <v>#N/A</v>
      </c>
      <c r="AM60" s="76" t="e">
        <f>HLOOKUP(Roster!$E$17,Team!$BL$2:$MK$128,59,FALSE)</f>
        <v>#N/A</v>
      </c>
      <c r="AN60" s="76" t="e">
        <f>HLOOKUP(Roster!$E$18,Team!$BL$2:$MK$128,59,FALSE)</f>
        <v>#N/A</v>
      </c>
      <c r="AO60" s="76" t="e">
        <f>HLOOKUP(Roster!$E$19,Team!$BL$2:$MK$128,59,FALSE)</f>
        <v>#N/A</v>
      </c>
      <c r="AP60" s="76" t="e">
        <f>HLOOKUP(Roster!$E$20,Team!$BL$2:$MK$128,59,FALSE)</f>
        <v>#N/A</v>
      </c>
      <c r="AR60" s="108">
        <f t="shared" si="1"/>
        <v>0</v>
      </c>
      <c r="AS60" s="108">
        <f t="shared" si="2"/>
        <v>0</v>
      </c>
      <c r="AT60" s="108">
        <f t="shared" si="3"/>
        <v>0</v>
      </c>
      <c r="AU60" s="108">
        <f t="shared" si="4"/>
        <v>0</v>
      </c>
      <c r="AV60" s="108">
        <f t="shared" si="5"/>
        <v>0</v>
      </c>
      <c r="AW60" s="108">
        <f t="shared" si="6"/>
        <v>0</v>
      </c>
      <c r="AX60" s="108">
        <f t="shared" si="7"/>
        <v>0</v>
      </c>
      <c r="AY60" s="108">
        <f t="shared" si="8"/>
        <v>0</v>
      </c>
      <c r="AZ60" s="108">
        <f t="shared" si="9"/>
        <v>0</v>
      </c>
      <c r="BA60" s="108">
        <f t="shared" si="10"/>
        <v>0</v>
      </c>
      <c r="BB60" s="108">
        <f t="shared" si="11"/>
        <v>0</v>
      </c>
      <c r="BC60" s="108">
        <f t="shared" si="12"/>
        <v>0</v>
      </c>
      <c r="BD60" s="108">
        <f t="shared" si="13"/>
        <v>0</v>
      </c>
      <c r="BE60" s="108">
        <f t="shared" si="14"/>
        <v>0</v>
      </c>
      <c r="BF60" s="108">
        <f t="shared" si="15"/>
        <v>0</v>
      </c>
      <c r="BG60" s="108">
        <f t="shared" si="16"/>
        <v>0</v>
      </c>
      <c r="BL60" s="75" t="s">
        <v>343</v>
      </c>
      <c r="BM60" s="75" t="s">
        <v>308</v>
      </c>
      <c r="BN60" s="75" t="s">
        <v>343</v>
      </c>
      <c r="BO60" s="75" t="s">
        <v>343</v>
      </c>
      <c r="BP60" s="75" t="s">
        <v>343</v>
      </c>
      <c r="BQ60" s="75"/>
      <c r="BR60" s="75" t="s">
        <v>308</v>
      </c>
      <c r="BS60" s="75" t="s">
        <v>308</v>
      </c>
      <c r="BT60" s="75" t="s">
        <v>308</v>
      </c>
      <c r="BU60" s="75" t="s">
        <v>308</v>
      </c>
      <c r="BV60" s="75"/>
      <c r="BW60" s="81" t="s">
        <v>226</v>
      </c>
      <c r="BX60" s="81" t="s">
        <v>308</v>
      </c>
      <c r="BY60" s="81" t="s">
        <v>308</v>
      </c>
      <c r="BZ60" s="81" t="s">
        <v>308</v>
      </c>
      <c r="CA60" s="81" t="s">
        <v>308</v>
      </c>
      <c r="CB60" s="81" t="s">
        <v>226</v>
      </c>
      <c r="CC60" s="77"/>
      <c r="CD60" s="75" t="s">
        <v>343</v>
      </c>
      <c r="CE60" s="81" t="s">
        <v>308</v>
      </c>
      <c r="CF60" s="75" t="s">
        <v>343</v>
      </c>
      <c r="CG60" s="81" t="s">
        <v>308</v>
      </c>
      <c r="CH60" s="75" t="s">
        <v>343</v>
      </c>
      <c r="CI60" s="77"/>
      <c r="CJ60" s="81" t="s">
        <v>308</v>
      </c>
      <c r="CK60" s="81" t="s">
        <v>226</v>
      </c>
      <c r="CL60" s="81" t="s">
        <v>319</v>
      </c>
      <c r="CM60" s="81" t="s">
        <v>308</v>
      </c>
      <c r="CN60" s="81" t="s">
        <v>308</v>
      </c>
      <c r="CO60" s="81" t="s">
        <v>226</v>
      </c>
      <c r="CP60" s="81" t="s">
        <v>308</v>
      </c>
      <c r="CQ60" s="81" t="s">
        <v>308</v>
      </c>
      <c r="CR60" s="81" t="s">
        <v>308</v>
      </c>
      <c r="CS60" s="81" t="s">
        <v>308</v>
      </c>
      <c r="CT60" s="81" t="s">
        <v>308</v>
      </c>
      <c r="CU60" s="81"/>
      <c r="CV60" s="75" t="s">
        <v>308</v>
      </c>
      <c r="CW60" s="75" t="s">
        <v>308</v>
      </c>
      <c r="CX60" s="75" t="s">
        <v>308</v>
      </c>
      <c r="CY60" s="75" t="s">
        <v>308</v>
      </c>
      <c r="CZ60" s="75" t="s">
        <v>308</v>
      </c>
      <c r="DA60" s="81"/>
      <c r="DB60" s="75" t="s">
        <v>343</v>
      </c>
      <c r="DC60" s="75" t="s">
        <v>308</v>
      </c>
      <c r="DD60" s="75" t="s">
        <v>308</v>
      </c>
      <c r="DE60" s="75" t="s">
        <v>308</v>
      </c>
      <c r="DF60" s="75" t="s">
        <v>308</v>
      </c>
      <c r="DG60" s="75" t="s">
        <v>343</v>
      </c>
      <c r="DH60" s="75"/>
      <c r="DI60" s="75" t="s">
        <v>343</v>
      </c>
      <c r="DJ60" s="75" t="s">
        <v>308</v>
      </c>
      <c r="DK60" s="75" t="s">
        <v>308</v>
      </c>
      <c r="DL60" s="75" t="s">
        <v>343</v>
      </c>
      <c r="DM60" s="75" t="s">
        <v>343</v>
      </c>
      <c r="DN60" s="75" t="s">
        <v>343</v>
      </c>
      <c r="DO60" s="75"/>
      <c r="DP60" s="75" t="s">
        <v>343</v>
      </c>
      <c r="DQ60" s="75" t="s">
        <v>308</v>
      </c>
      <c r="DR60" s="75" t="s">
        <v>343</v>
      </c>
      <c r="DS60" s="75" t="s">
        <v>308</v>
      </c>
      <c r="DT60" s="75" t="s">
        <v>343</v>
      </c>
      <c r="DU60" s="75"/>
      <c r="DV60" s="75" t="s">
        <v>308</v>
      </c>
      <c r="DW60" s="75" t="s">
        <v>308</v>
      </c>
      <c r="DX60" s="75" t="s">
        <v>343</v>
      </c>
      <c r="DY60" s="75" t="s">
        <v>343</v>
      </c>
      <c r="DZ60" s="75" t="s">
        <v>308</v>
      </c>
      <c r="EA60" s="75" t="s">
        <v>308</v>
      </c>
      <c r="EB60" s="75" t="s">
        <v>343</v>
      </c>
      <c r="EC60" s="75" t="s">
        <v>308</v>
      </c>
      <c r="ED60" s="75" t="s">
        <v>308</v>
      </c>
      <c r="EE60" s="75"/>
      <c r="EF60" s="75" t="s">
        <v>343</v>
      </c>
      <c r="EG60" s="75" t="s">
        <v>308</v>
      </c>
      <c r="EH60" s="75" t="s">
        <v>343</v>
      </c>
      <c r="EI60" s="75" t="s">
        <v>308</v>
      </c>
      <c r="EJ60" s="75" t="s">
        <v>343</v>
      </c>
      <c r="EK60" s="75"/>
      <c r="EL60" s="75" t="s">
        <v>308</v>
      </c>
      <c r="EM60" s="75" t="s">
        <v>308</v>
      </c>
      <c r="EN60" s="75" t="s">
        <v>343</v>
      </c>
      <c r="EO60" s="75" t="s">
        <v>308</v>
      </c>
      <c r="EP60" s="75" t="s">
        <v>308</v>
      </c>
      <c r="EQ60" s="75"/>
      <c r="ER60" s="75" t="s">
        <v>343</v>
      </c>
      <c r="ES60" s="75" t="s">
        <v>308</v>
      </c>
      <c r="ET60" s="75" t="s">
        <v>308</v>
      </c>
      <c r="EU60" s="75" t="s">
        <v>308</v>
      </c>
      <c r="EV60" s="75" t="s">
        <v>343</v>
      </c>
      <c r="EW60" s="75" t="s">
        <v>343</v>
      </c>
      <c r="EX60" s="75" t="s">
        <v>343</v>
      </c>
      <c r="EY60" s="75"/>
      <c r="EZ60" s="75" t="s">
        <v>343</v>
      </c>
      <c r="FA60" s="75" t="s">
        <v>308</v>
      </c>
      <c r="FB60" s="75" t="s">
        <v>308</v>
      </c>
      <c r="FC60" s="75" t="s">
        <v>343</v>
      </c>
      <c r="FD60" s="75" t="s">
        <v>343</v>
      </c>
      <c r="FE60" s="75" t="s">
        <v>343</v>
      </c>
      <c r="FF60" s="75"/>
      <c r="FG60" s="81" t="s">
        <v>308</v>
      </c>
      <c r="FH60" s="81" t="s">
        <v>226</v>
      </c>
      <c r="FI60" s="81" t="s">
        <v>308</v>
      </c>
      <c r="FJ60" s="81" t="s">
        <v>308</v>
      </c>
      <c r="FK60" s="81" t="s">
        <v>308</v>
      </c>
      <c r="FL60" s="75"/>
      <c r="FM60" s="75" t="s">
        <v>308</v>
      </c>
      <c r="FN60" s="75" t="s">
        <v>308</v>
      </c>
      <c r="FO60" s="75" t="s">
        <v>343</v>
      </c>
      <c r="FP60" s="75" t="s">
        <v>343</v>
      </c>
      <c r="FQ60" s="75" t="s">
        <v>308</v>
      </c>
      <c r="FR60" s="75"/>
      <c r="FS60" s="75" t="s">
        <v>343</v>
      </c>
      <c r="FT60" s="75" t="s">
        <v>308</v>
      </c>
      <c r="FU60" s="75" t="s">
        <v>343</v>
      </c>
      <c r="FV60" s="75" t="s">
        <v>308</v>
      </c>
      <c r="FW60" s="75" t="s">
        <v>343</v>
      </c>
      <c r="FX60" s="75" t="s">
        <v>343</v>
      </c>
      <c r="FY60" s="75"/>
      <c r="FZ60" s="75" t="s">
        <v>308</v>
      </c>
      <c r="GA60" s="75"/>
      <c r="GB60" s="75" t="s">
        <v>308</v>
      </c>
      <c r="GC60" s="75" t="s">
        <v>308</v>
      </c>
      <c r="GD60" s="75" t="s">
        <v>343</v>
      </c>
      <c r="GE60" s="75" t="s">
        <v>343</v>
      </c>
      <c r="GF60" s="75" t="s">
        <v>308</v>
      </c>
      <c r="GG60" s="75"/>
      <c r="GH60" s="81" t="s">
        <v>308</v>
      </c>
      <c r="GI60" s="81" t="s">
        <v>226</v>
      </c>
      <c r="GJ60" s="81" t="s">
        <v>308</v>
      </c>
      <c r="GK60" s="81" t="s">
        <v>308</v>
      </c>
      <c r="GL60" s="81" t="s">
        <v>308</v>
      </c>
      <c r="GM60" s="81"/>
      <c r="GO60" s="75" t="s">
        <v>308</v>
      </c>
      <c r="GP60" s="75" t="s">
        <v>308</v>
      </c>
      <c r="GS60" s="75" t="s">
        <v>343</v>
      </c>
      <c r="GT60" s="75" t="s">
        <v>308</v>
      </c>
      <c r="GU60" s="75" t="s">
        <v>343</v>
      </c>
      <c r="GV60" s="75" t="s">
        <v>343</v>
      </c>
      <c r="GW60" s="75" t="s">
        <v>343</v>
      </c>
      <c r="GX60" s="75" t="s">
        <v>308</v>
      </c>
      <c r="GY60" s="75" t="s">
        <v>343</v>
      </c>
      <c r="GZ60" s="75" t="s">
        <v>343</v>
      </c>
      <c r="HA60" s="75" t="s">
        <v>343</v>
      </c>
      <c r="HB60" s="75" t="s">
        <v>343</v>
      </c>
      <c r="HC60" s="75" t="s">
        <v>308</v>
      </c>
      <c r="HD60" s="75" t="s">
        <v>343</v>
      </c>
      <c r="HE60" s="75"/>
      <c r="HF60" s="75" t="s">
        <v>343</v>
      </c>
      <c r="HG60" s="75" t="s">
        <v>308</v>
      </c>
      <c r="HH60" s="75" t="s">
        <v>308</v>
      </c>
      <c r="HI60" s="75" t="s">
        <v>343</v>
      </c>
      <c r="HJ60" s="75" t="s">
        <v>343</v>
      </c>
      <c r="HK60" s="75" t="s">
        <v>308</v>
      </c>
      <c r="HL60" s="75" t="s">
        <v>343</v>
      </c>
      <c r="HM60" s="75"/>
      <c r="HN60" s="75" t="s">
        <v>343</v>
      </c>
      <c r="HO60" s="75" t="s">
        <v>343</v>
      </c>
      <c r="HP60" s="75" t="s">
        <v>308</v>
      </c>
      <c r="HQ60" s="75" t="s">
        <v>308</v>
      </c>
      <c r="HR60" s="75" t="s">
        <v>343</v>
      </c>
      <c r="HS60" s="75" t="s">
        <v>343</v>
      </c>
      <c r="HT60" s="75"/>
      <c r="HU60" s="75" t="s">
        <v>343</v>
      </c>
      <c r="HV60" s="75" t="s">
        <v>308</v>
      </c>
      <c r="HW60" s="75" t="s">
        <v>343</v>
      </c>
      <c r="HX60" s="75" t="s">
        <v>343</v>
      </c>
      <c r="HY60" s="75" t="s">
        <v>343</v>
      </c>
      <c r="HZ60" s="75" t="s">
        <v>343</v>
      </c>
      <c r="IA60" s="75"/>
      <c r="IB60" s="81" t="s">
        <v>308</v>
      </c>
      <c r="IC60" s="81" t="s">
        <v>226</v>
      </c>
      <c r="ID60" s="81" t="s">
        <v>226</v>
      </c>
      <c r="IE60" s="81" t="s">
        <v>226</v>
      </c>
      <c r="IF60" s="81" t="s">
        <v>308</v>
      </c>
      <c r="IG60" s="81" t="s">
        <v>308</v>
      </c>
      <c r="IH60" s="81"/>
      <c r="II60" s="75" t="s">
        <v>308</v>
      </c>
      <c r="IJ60" s="75" t="s">
        <v>308</v>
      </c>
      <c r="IK60" s="75" t="s">
        <v>308</v>
      </c>
      <c r="IL60" s="75" t="s">
        <v>308</v>
      </c>
      <c r="IM60" s="75" t="s">
        <v>308</v>
      </c>
      <c r="IN60" s="81"/>
      <c r="IP60" s="75" t="s">
        <v>343</v>
      </c>
      <c r="IS60" s="75" t="s">
        <v>343</v>
      </c>
      <c r="IT60" s="75" t="s">
        <v>308</v>
      </c>
      <c r="IW60" s="75" t="s">
        <v>343</v>
      </c>
      <c r="IX60" s="75" t="s">
        <v>343</v>
      </c>
      <c r="IY60" s="75" t="s">
        <v>308</v>
      </c>
      <c r="IZ60" s="75" t="s">
        <v>343</v>
      </c>
      <c r="JA60" s="75" t="s">
        <v>343</v>
      </c>
      <c r="JC60" s="81" t="s">
        <v>308</v>
      </c>
      <c r="JD60" s="81" t="s">
        <v>343</v>
      </c>
      <c r="JE60" s="81" t="s">
        <v>308</v>
      </c>
      <c r="JF60" s="81" t="s">
        <v>226</v>
      </c>
      <c r="JG60" s="81" t="s">
        <v>226</v>
      </c>
      <c r="JH60" s="81" t="s">
        <v>226</v>
      </c>
      <c r="JI60" s="81" t="s">
        <v>226</v>
      </c>
      <c r="JJ60" s="81" t="s">
        <v>308</v>
      </c>
      <c r="JK60" s="81" t="s">
        <v>308</v>
      </c>
      <c r="JL60" s="81"/>
      <c r="JM60" s="75" t="s">
        <v>343</v>
      </c>
      <c r="JN60" s="75" t="s">
        <v>308</v>
      </c>
      <c r="JO60" s="75" t="s">
        <v>343</v>
      </c>
      <c r="JP60" s="81"/>
      <c r="JQ60" s="75" t="s">
        <v>343</v>
      </c>
      <c r="JR60" s="75" t="s">
        <v>308</v>
      </c>
      <c r="JS60" s="75" t="s">
        <v>308</v>
      </c>
      <c r="JT60" s="75" t="s">
        <v>308</v>
      </c>
      <c r="JU60" s="75" t="s">
        <v>343</v>
      </c>
      <c r="JV60" s="75" t="s">
        <v>343</v>
      </c>
    </row>
    <row r="61" spans="1:282" x14ac:dyDescent="0.15">
      <c r="A61" s="214" t="s">
        <v>94</v>
      </c>
      <c r="B61" s="6" t="s">
        <v>19</v>
      </c>
      <c r="C61" s="6">
        <v>60000</v>
      </c>
      <c r="D61" s="6">
        <v>1</v>
      </c>
      <c r="E61" s="6">
        <v>6</v>
      </c>
      <c r="F61" s="6">
        <v>2</v>
      </c>
      <c r="G61" s="6" t="s">
        <v>36</v>
      </c>
      <c r="H61" s="6" t="s">
        <v>96</v>
      </c>
      <c r="I61" s="6" t="s">
        <v>38</v>
      </c>
      <c r="J61" s="21" t="s">
        <v>102</v>
      </c>
      <c r="K61" s="21">
        <v>2</v>
      </c>
      <c r="L61" s="21">
        <v>1</v>
      </c>
      <c r="M61" s="21">
        <v>2</v>
      </c>
      <c r="N61" s="21">
        <v>0</v>
      </c>
      <c r="O61" s="21">
        <v>0</v>
      </c>
      <c r="P61" s="21" t="str">
        <f>IF(TeamT[[#This Row],[General]]+TeamT[[#This Row],[Agility]]+TeamT[[#This Row],[Strength]]+TeamT[[#This Row],[Passing]]+TeamT[[#This Row],[Mutation]]&gt;0,IF(TeamT[[#This Row],[General]]=1,"G","")&amp;IF(TeamT[[#This Row],[Agility]]=1,"A","")&amp;IF(TeamT[[#This Row],[Strength]]=1,"S","")&amp;IF(TeamT[[#This Row],[Passing]]=1,"P","")&amp;IF(TeamT[[#This Row],[Mutation]]=1,"M",""),"Star")</f>
        <v>A</v>
      </c>
      <c r="Q61" s="21" t="str">
        <f>IF(TeamT[[#This Row],[General]]=2,"G","")&amp;IF(TeamT[[#This Row],[Agility]]=2,"A","")&amp;IF(TeamT[[#This Row],[Strength]]=2,"S","")&amp;IF(TeamT[[#This Row],[Passing]]=2,"P","")&amp;IF(TeamT[[#This Row],[Mutation]]=2,"M","")</f>
        <v>GS</v>
      </c>
      <c r="R61" s="212"/>
      <c r="S61" s="21">
        <v>3</v>
      </c>
      <c r="T61" s="21">
        <v>6</v>
      </c>
      <c r="U61" s="21">
        <v>8</v>
      </c>
      <c r="AA61" s="76" t="e">
        <f>HLOOKUP(Roster!$E$5,Team!$BL$2:$MK$128,60,FALSE)</f>
        <v>#N/A</v>
      </c>
      <c r="AB61" s="76" t="e">
        <f>HLOOKUP(Roster!$E$6,Team!$BL$2:$MK$128,60,FALSE)</f>
        <v>#N/A</v>
      </c>
      <c r="AC61" s="76" t="e">
        <f>HLOOKUP(Roster!$E$7,Team!$BL$2:$MK$128,60,FALSE)</f>
        <v>#N/A</v>
      </c>
      <c r="AD61" s="76" t="e">
        <f>HLOOKUP(Roster!$E$8,Team!$BL$2:$MK$128,60,FALSE)</f>
        <v>#N/A</v>
      </c>
      <c r="AE61" s="76" t="e">
        <f>HLOOKUP(Roster!$E$9,Team!$BL$2:$MK$128,60,FALSE)</f>
        <v>#N/A</v>
      </c>
      <c r="AF61" s="76" t="e">
        <f>HLOOKUP(Roster!$E$10,Team!$BL$2:$MK$128,60,FALSE)</f>
        <v>#N/A</v>
      </c>
      <c r="AG61" s="76" t="e">
        <f>HLOOKUP(Roster!$E$11,Team!$BL$2:$MK$128,60,FALSE)</f>
        <v>#N/A</v>
      </c>
      <c r="AH61" s="76" t="e">
        <f>HLOOKUP(Roster!$E$12,Team!$BL$2:$MK$128,60,FALSE)</f>
        <v>#N/A</v>
      </c>
      <c r="AI61" s="76" t="e">
        <f>HLOOKUP(Roster!$E$13,Team!$BL$2:$MK$128,60,FALSE)</f>
        <v>#N/A</v>
      </c>
      <c r="AJ61" s="76" t="e">
        <f>HLOOKUP(Roster!$E$14,Team!$BL$2:$MK$128,60,FALSE)</f>
        <v>#N/A</v>
      </c>
      <c r="AK61" s="76" t="e">
        <f>HLOOKUP(Roster!$E$15,Team!$BL$2:$MK$128,60,FALSE)</f>
        <v>#N/A</v>
      </c>
      <c r="AL61" s="76" t="e">
        <f>HLOOKUP(Roster!$E$16,Team!$BL$2:$MK$128,60,FALSE)</f>
        <v>#N/A</v>
      </c>
      <c r="AM61" s="76" t="e">
        <f>HLOOKUP(Roster!$E$17,Team!$BL$2:$MK$128,60,FALSE)</f>
        <v>#N/A</v>
      </c>
      <c r="AN61" s="76" t="e">
        <f>HLOOKUP(Roster!$E$18,Team!$BL$2:$MK$128,60,FALSE)</f>
        <v>#N/A</v>
      </c>
      <c r="AO61" s="76" t="e">
        <f>HLOOKUP(Roster!$E$19,Team!$BL$2:$MK$128,60,FALSE)</f>
        <v>#N/A</v>
      </c>
      <c r="AP61" s="76" t="e">
        <f>HLOOKUP(Roster!$E$20,Team!$BL$2:$MK$128,60,FALSE)</f>
        <v>#N/A</v>
      </c>
      <c r="AR61" s="108">
        <f t="shared" si="1"/>
        <v>0</v>
      </c>
      <c r="AS61" s="108">
        <f t="shared" si="2"/>
        <v>0</v>
      </c>
      <c r="AT61" s="108">
        <f t="shared" si="3"/>
        <v>0</v>
      </c>
      <c r="AU61" s="108">
        <f t="shared" si="4"/>
        <v>0</v>
      </c>
      <c r="AV61" s="108">
        <f t="shared" si="5"/>
        <v>0</v>
      </c>
      <c r="AW61" s="108">
        <f t="shared" si="6"/>
        <v>0</v>
      </c>
      <c r="AX61" s="108">
        <f t="shared" si="7"/>
        <v>0</v>
      </c>
      <c r="AY61" s="108">
        <f t="shared" si="8"/>
        <v>0</v>
      </c>
      <c r="AZ61" s="108">
        <f t="shared" si="9"/>
        <v>0</v>
      </c>
      <c r="BA61" s="108">
        <f t="shared" si="10"/>
        <v>0</v>
      </c>
      <c r="BB61" s="108">
        <f t="shared" si="11"/>
        <v>0</v>
      </c>
      <c r="BC61" s="108">
        <f t="shared" si="12"/>
        <v>0</v>
      </c>
      <c r="BD61" s="108">
        <f t="shared" si="13"/>
        <v>0</v>
      </c>
      <c r="BE61" s="108">
        <f t="shared" si="14"/>
        <v>0</v>
      </c>
      <c r="BF61" s="108">
        <f t="shared" si="15"/>
        <v>0</v>
      </c>
      <c r="BG61" s="108">
        <f t="shared" si="16"/>
        <v>0</v>
      </c>
      <c r="BL61" s="75" t="s">
        <v>344</v>
      </c>
      <c r="BM61" s="75" t="s">
        <v>309</v>
      </c>
      <c r="BN61" s="75" t="s">
        <v>344</v>
      </c>
      <c r="BO61" s="75" t="s">
        <v>344</v>
      </c>
      <c r="BP61" s="75" t="s">
        <v>344</v>
      </c>
      <c r="BQ61" s="75"/>
      <c r="BR61" s="75" t="s">
        <v>309</v>
      </c>
      <c r="BS61" s="75" t="s">
        <v>309</v>
      </c>
      <c r="BT61" s="75" t="s">
        <v>309</v>
      </c>
      <c r="BU61" s="75" t="s">
        <v>309</v>
      </c>
      <c r="BV61" s="75"/>
      <c r="BW61" s="81" t="s">
        <v>134</v>
      </c>
      <c r="BX61" s="81" t="s">
        <v>309</v>
      </c>
      <c r="BY61" s="81" t="s">
        <v>309</v>
      </c>
      <c r="BZ61" s="81" t="s">
        <v>309</v>
      </c>
      <c r="CA61" s="81" t="s">
        <v>309</v>
      </c>
      <c r="CB61" s="81" t="s">
        <v>134</v>
      </c>
      <c r="CC61" s="77"/>
      <c r="CD61" s="75" t="s">
        <v>344</v>
      </c>
      <c r="CE61" s="81" t="s">
        <v>309</v>
      </c>
      <c r="CF61" s="75" t="s">
        <v>344</v>
      </c>
      <c r="CG61" s="81" t="s">
        <v>309</v>
      </c>
      <c r="CH61" s="75" t="s">
        <v>344</v>
      </c>
      <c r="CI61" s="77"/>
      <c r="CJ61" s="81" t="s">
        <v>309</v>
      </c>
      <c r="CK61" s="81" t="s">
        <v>134</v>
      </c>
      <c r="CL61" s="81" t="s">
        <v>320</v>
      </c>
      <c r="CM61" s="81" t="s">
        <v>309</v>
      </c>
      <c r="CN61" s="81" t="s">
        <v>309</v>
      </c>
      <c r="CO61" s="81" t="s">
        <v>134</v>
      </c>
      <c r="CP61" s="81" t="s">
        <v>309</v>
      </c>
      <c r="CQ61" s="81" t="s">
        <v>309</v>
      </c>
      <c r="CR61" s="81" t="s">
        <v>309</v>
      </c>
      <c r="CS61" s="81" t="s">
        <v>309</v>
      </c>
      <c r="CT61" s="81" t="s">
        <v>309</v>
      </c>
      <c r="CU61" s="81"/>
      <c r="CV61" s="75" t="s">
        <v>309</v>
      </c>
      <c r="CW61" s="75" t="s">
        <v>309</v>
      </c>
      <c r="CX61" s="75" t="s">
        <v>309</v>
      </c>
      <c r="CY61" s="75" t="s">
        <v>309</v>
      </c>
      <c r="CZ61" s="75" t="s">
        <v>309</v>
      </c>
      <c r="DA61" s="81"/>
      <c r="DB61" s="75" t="s">
        <v>344</v>
      </c>
      <c r="DC61" s="75" t="s">
        <v>309</v>
      </c>
      <c r="DD61" s="75" t="s">
        <v>309</v>
      </c>
      <c r="DE61" s="75" t="s">
        <v>309</v>
      </c>
      <c r="DF61" s="75" t="s">
        <v>309</v>
      </c>
      <c r="DG61" s="75" t="s">
        <v>344</v>
      </c>
      <c r="DH61" s="75"/>
      <c r="DI61" s="75" t="s">
        <v>344</v>
      </c>
      <c r="DJ61" s="75" t="s">
        <v>309</v>
      </c>
      <c r="DK61" s="75" t="s">
        <v>309</v>
      </c>
      <c r="DL61" s="75" t="s">
        <v>344</v>
      </c>
      <c r="DM61" s="75" t="s">
        <v>344</v>
      </c>
      <c r="DN61" s="75" t="s">
        <v>344</v>
      </c>
      <c r="DO61" s="75"/>
      <c r="DP61" s="75" t="s">
        <v>344</v>
      </c>
      <c r="DQ61" s="75" t="s">
        <v>309</v>
      </c>
      <c r="DR61" s="75" t="s">
        <v>344</v>
      </c>
      <c r="DS61" s="75" t="s">
        <v>309</v>
      </c>
      <c r="DT61" s="75" t="s">
        <v>344</v>
      </c>
      <c r="DU61" s="75"/>
      <c r="DV61" s="75" t="s">
        <v>309</v>
      </c>
      <c r="DW61" s="75" t="s">
        <v>309</v>
      </c>
      <c r="DX61" s="75" t="s">
        <v>344</v>
      </c>
      <c r="DY61" s="75" t="s">
        <v>344</v>
      </c>
      <c r="DZ61" s="75" t="s">
        <v>309</v>
      </c>
      <c r="EA61" s="75" t="s">
        <v>309</v>
      </c>
      <c r="EB61" s="75" t="s">
        <v>344</v>
      </c>
      <c r="EC61" s="75" t="s">
        <v>309</v>
      </c>
      <c r="ED61" s="75" t="s">
        <v>309</v>
      </c>
      <c r="EE61" s="75"/>
      <c r="EF61" s="75" t="s">
        <v>344</v>
      </c>
      <c r="EG61" s="75" t="s">
        <v>309</v>
      </c>
      <c r="EH61" s="75" t="s">
        <v>344</v>
      </c>
      <c r="EI61" s="75" t="s">
        <v>309</v>
      </c>
      <c r="EJ61" s="75" t="s">
        <v>344</v>
      </c>
      <c r="EK61" s="75"/>
      <c r="EL61" s="75" t="s">
        <v>309</v>
      </c>
      <c r="EM61" s="75" t="s">
        <v>309</v>
      </c>
      <c r="EN61" s="75" t="s">
        <v>344</v>
      </c>
      <c r="EO61" s="75" t="s">
        <v>309</v>
      </c>
      <c r="EP61" s="75" t="s">
        <v>309</v>
      </c>
      <c r="EQ61" s="75"/>
      <c r="ER61" s="75" t="s">
        <v>344</v>
      </c>
      <c r="ES61" s="75" t="s">
        <v>309</v>
      </c>
      <c r="ET61" s="75" t="s">
        <v>309</v>
      </c>
      <c r="EU61" s="75" t="s">
        <v>309</v>
      </c>
      <c r="EV61" s="75" t="s">
        <v>344</v>
      </c>
      <c r="EW61" s="75" t="s">
        <v>344</v>
      </c>
      <c r="EX61" s="75" t="s">
        <v>344</v>
      </c>
      <c r="EY61" s="75"/>
      <c r="EZ61" s="75" t="s">
        <v>344</v>
      </c>
      <c r="FA61" s="75" t="s">
        <v>309</v>
      </c>
      <c r="FB61" s="75" t="s">
        <v>309</v>
      </c>
      <c r="FC61" s="75" t="s">
        <v>344</v>
      </c>
      <c r="FD61" s="75" t="s">
        <v>344</v>
      </c>
      <c r="FE61" s="75" t="s">
        <v>344</v>
      </c>
      <c r="FF61" s="75"/>
      <c r="FG61" s="81" t="s">
        <v>309</v>
      </c>
      <c r="FH61" s="81" t="s">
        <v>134</v>
      </c>
      <c r="FI61" s="81" t="s">
        <v>309</v>
      </c>
      <c r="FJ61" s="81" t="s">
        <v>309</v>
      </c>
      <c r="FK61" s="81" t="s">
        <v>309</v>
      </c>
      <c r="FL61" s="75"/>
      <c r="FM61" s="75" t="s">
        <v>309</v>
      </c>
      <c r="FN61" s="75" t="s">
        <v>309</v>
      </c>
      <c r="FO61" s="75" t="s">
        <v>344</v>
      </c>
      <c r="FP61" s="75" t="s">
        <v>344</v>
      </c>
      <c r="FQ61" s="75" t="s">
        <v>309</v>
      </c>
      <c r="FR61" s="75"/>
      <c r="FS61" s="75" t="s">
        <v>344</v>
      </c>
      <c r="FT61" s="75" t="s">
        <v>309</v>
      </c>
      <c r="FU61" s="75" t="s">
        <v>344</v>
      </c>
      <c r="FV61" s="75" t="s">
        <v>309</v>
      </c>
      <c r="FW61" s="75" t="s">
        <v>344</v>
      </c>
      <c r="FX61" s="75" t="s">
        <v>344</v>
      </c>
      <c r="FY61" s="75"/>
      <c r="FZ61" s="75" t="s">
        <v>309</v>
      </c>
      <c r="GA61" s="75"/>
      <c r="GB61" s="75" t="s">
        <v>309</v>
      </c>
      <c r="GC61" s="75" t="s">
        <v>309</v>
      </c>
      <c r="GD61" s="75" t="s">
        <v>344</v>
      </c>
      <c r="GE61" s="75" t="s">
        <v>344</v>
      </c>
      <c r="GF61" s="75" t="s">
        <v>309</v>
      </c>
      <c r="GG61" s="75"/>
      <c r="GH61" s="81" t="s">
        <v>309</v>
      </c>
      <c r="GI61" s="81" t="s">
        <v>134</v>
      </c>
      <c r="GJ61" s="81" t="s">
        <v>309</v>
      </c>
      <c r="GK61" s="81" t="s">
        <v>309</v>
      </c>
      <c r="GL61" s="81" t="s">
        <v>309</v>
      </c>
      <c r="GM61" s="81"/>
      <c r="GO61" s="75" t="s">
        <v>309</v>
      </c>
      <c r="GP61" s="75" t="s">
        <v>309</v>
      </c>
      <c r="GS61" s="75" t="s">
        <v>344</v>
      </c>
      <c r="GT61" s="75" t="s">
        <v>309</v>
      </c>
      <c r="GU61" s="75" t="s">
        <v>344</v>
      </c>
      <c r="GV61" s="75" t="s">
        <v>344</v>
      </c>
      <c r="GW61" s="75" t="s">
        <v>344</v>
      </c>
      <c r="GX61" s="75" t="s">
        <v>309</v>
      </c>
      <c r="GY61" s="75" t="s">
        <v>344</v>
      </c>
      <c r="GZ61" s="75" t="s">
        <v>344</v>
      </c>
      <c r="HA61" s="75" t="s">
        <v>344</v>
      </c>
      <c r="HB61" s="75" t="s">
        <v>344</v>
      </c>
      <c r="HC61" s="75" t="s">
        <v>309</v>
      </c>
      <c r="HD61" s="75" t="s">
        <v>344</v>
      </c>
      <c r="HE61" s="75"/>
      <c r="HF61" s="75" t="s">
        <v>344</v>
      </c>
      <c r="HG61" s="75" t="s">
        <v>309</v>
      </c>
      <c r="HH61" s="75" t="s">
        <v>309</v>
      </c>
      <c r="HI61" s="75" t="s">
        <v>344</v>
      </c>
      <c r="HJ61" s="75" t="s">
        <v>344</v>
      </c>
      <c r="HK61" s="75" t="s">
        <v>309</v>
      </c>
      <c r="HL61" s="75" t="s">
        <v>344</v>
      </c>
      <c r="HM61" s="75"/>
      <c r="HN61" s="75" t="s">
        <v>344</v>
      </c>
      <c r="HO61" s="75" t="s">
        <v>344</v>
      </c>
      <c r="HP61" s="75" t="s">
        <v>309</v>
      </c>
      <c r="HQ61" s="75" t="s">
        <v>309</v>
      </c>
      <c r="HR61" s="75" t="s">
        <v>344</v>
      </c>
      <c r="HS61" s="75" t="s">
        <v>344</v>
      </c>
      <c r="HT61" s="75"/>
      <c r="HU61" s="75" t="s">
        <v>344</v>
      </c>
      <c r="HV61" s="75" t="s">
        <v>309</v>
      </c>
      <c r="HW61" s="75" t="s">
        <v>344</v>
      </c>
      <c r="HX61" s="75" t="s">
        <v>344</v>
      </c>
      <c r="HY61" s="75" t="s">
        <v>344</v>
      </c>
      <c r="HZ61" s="75" t="s">
        <v>344</v>
      </c>
      <c r="IA61" s="75"/>
      <c r="IB61" s="81" t="s">
        <v>309</v>
      </c>
      <c r="IC61" s="81" t="s">
        <v>134</v>
      </c>
      <c r="ID61" s="81" t="s">
        <v>134</v>
      </c>
      <c r="IE61" s="81" t="s">
        <v>134</v>
      </c>
      <c r="IF61" s="81" t="s">
        <v>309</v>
      </c>
      <c r="IG61" s="81" t="s">
        <v>309</v>
      </c>
      <c r="IH61" s="81"/>
      <c r="II61" s="75" t="s">
        <v>309</v>
      </c>
      <c r="IJ61" s="75" t="s">
        <v>309</v>
      </c>
      <c r="IK61" s="75" t="s">
        <v>309</v>
      </c>
      <c r="IL61" s="75" t="s">
        <v>309</v>
      </c>
      <c r="IM61" s="75" t="s">
        <v>309</v>
      </c>
      <c r="IN61" s="81"/>
      <c r="IP61" s="75" t="s">
        <v>344</v>
      </c>
      <c r="IS61" s="75" t="s">
        <v>344</v>
      </c>
      <c r="IT61" s="75" t="s">
        <v>309</v>
      </c>
      <c r="IW61" s="75" t="s">
        <v>344</v>
      </c>
      <c r="IX61" s="75" t="s">
        <v>344</v>
      </c>
      <c r="IY61" s="75" t="s">
        <v>309</v>
      </c>
      <c r="IZ61" s="75" t="s">
        <v>344</v>
      </c>
      <c r="JA61" s="75" t="s">
        <v>344</v>
      </c>
      <c r="JC61" s="81" t="s">
        <v>309</v>
      </c>
      <c r="JD61" s="81" t="s">
        <v>344</v>
      </c>
      <c r="JE61" s="81" t="s">
        <v>309</v>
      </c>
      <c r="JF61" s="81" t="s">
        <v>134</v>
      </c>
      <c r="JG61" s="81" t="s">
        <v>134</v>
      </c>
      <c r="JH61" s="81" t="s">
        <v>134</v>
      </c>
      <c r="JI61" s="81" t="s">
        <v>134</v>
      </c>
      <c r="JJ61" s="81" t="s">
        <v>309</v>
      </c>
      <c r="JK61" s="81" t="s">
        <v>309</v>
      </c>
      <c r="JL61" s="81"/>
      <c r="JM61" s="75" t="s">
        <v>344</v>
      </c>
      <c r="JN61" s="75" t="s">
        <v>309</v>
      </c>
      <c r="JO61" s="75" t="s">
        <v>344</v>
      </c>
      <c r="JP61" s="81"/>
      <c r="JQ61" s="75" t="s">
        <v>344</v>
      </c>
      <c r="JR61" s="75" t="s">
        <v>309</v>
      </c>
      <c r="JS61" s="75" t="s">
        <v>309</v>
      </c>
      <c r="JT61" s="75" t="s">
        <v>309</v>
      </c>
      <c r="JU61" s="75" t="s">
        <v>344</v>
      </c>
      <c r="JV61" s="75" t="s">
        <v>344</v>
      </c>
    </row>
    <row r="62" spans="1:282" x14ac:dyDescent="0.15">
      <c r="A62" s="214" t="s">
        <v>43</v>
      </c>
      <c r="B62" s="6" t="s">
        <v>19</v>
      </c>
      <c r="C62" s="6">
        <v>115000</v>
      </c>
      <c r="D62" s="6">
        <v>2</v>
      </c>
      <c r="E62" s="6">
        <v>4</v>
      </c>
      <c r="F62" s="6">
        <v>5</v>
      </c>
      <c r="G62" s="6" t="s">
        <v>40</v>
      </c>
      <c r="H62" s="6" t="s">
        <v>40</v>
      </c>
      <c r="I62" s="6" t="s">
        <v>41</v>
      </c>
      <c r="J62" s="21" t="s">
        <v>44</v>
      </c>
      <c r="K62" s="21">
        <v>2</v>
      </c>
      <c r="L62" s="21">
        <v>2</v>
      </c>
      <c r="M62" s="21">
        <v>1</v>
      </c>
      <c r="N62" s="21">
        <v>2</v>
      </c>
      <c r="O62" s="21">
        <v>0</v>
      </c>
      <c r="P62" s="21" t="str">
        <f>IF(TeamT[[#This Row],[General]]+TeamT[[#This Row],[Agility]]+TeamT[[#This Row],[Strength]]+TeamT[[#This Row],[Passing]]+TeamT[[#This Row],[Mutation]]&gt;0,IF(TeamT[[#This Row],[General]]=1,"G","")&amp;IF(TeamT[[#This Row],[Agility]]=1,"A","")&amp;IF(TeamT[[#This Row],[Strength]]=1,"S","")&amp;IF(TeamT[[#This Row],[Passing]]=1,"P","")&amp;IF(TeamT[[#This Row],[Mutation]]=1,"M",""),"Star")</f>
        <v>S</v>
      </c>
      <c r="Q62" s="21" t="str">
        <f>IF(TeamT[[#This Row],[General]]=2,"G","")&amp;IF(TeamT[[#This Row],[Agility]]=2,"A","")&amp;IF(TeamT[[#This Row],[Strength]]=2,"S","")&amp;IF(TeamT[[#This Row],[Passing]]=2,"P","")&amp;IF(TeamT[[#This Row],[Mutation]]=2,"M","")</f>
        <v>GAP</v>
      </c>
      <c r="R62" s="212"/>
      <c r="S62" s="21">
        <v>5</v>
      </c>
      <c r="T62" s="21">
        <v>5</v>
      </c>
      <c r="U62" s="21">
        <v>10</v>
      </c>
      <c r="AA62" s="76" t="e">
        <f>HLOOKUP(Roster!$E$5,Team!$BL$2:$MK$128,61,FALSE)</f>
        <v>#N/A</v>
      </c>
      <c r="AB62" s="76" t="e">
        <f>HLOOKUP(Roster!$E$6,Team!$BL$2:$MK$128,61,FALSE)</f>
        <v>#N/A</v>
      </c>
      <c r="AC62" s="76" t="e">
        <f>HLOOKUP(Roster!$E$7,Team!$BL$2:$MK$128,61,FALSE)</f>
        <v>#N/A</v>
      </c>
      <c r="AD62" s="76" t="e">
        <f>HLOOKUP(Roster!$E$8,Team!$BL$2:$MK$128,61,FALSE)</f>
        <v>#N/A</v>
      </c>
      <c r="AE62" s="76" t="e">
        <f>HLOOKUP(Roster!$E$9,Team!$BL$2:$MK$128,61,FALSE)</f>
        <v>#N/A</v>
      </c>
      <c r="AF62" s="76" t="e">
        <f>HLOOKUP(Roster!$E$10,Team!$BL$2:$MK$128,61,FALSE)</f>
        <v>#N/A</v>
      </c>
      <c r="AG62" s="76" t="e">
        <f>HLOOKUP(Roster!$E$11,Team!$BL$2:$MK$128,61,FALSE)</f>
        <v>#N/A</v>
      </c>
      <c r="AH62" s="76" t="e">
        <f>HLOOKUP(Roster!$E$12,Team!$BL$2:$MK$128,61,FALSE)</f>
        <v>#N/A</v>
      </c>
      <c r="AI62" s="76" t="e">
        <f>HLOOKUP(Roster!$E$13,Team!$BL$2:$MK$128,61,FALSE)</f>
        <v>#N/A</v>
      </c>
      <c r="AJ62" s="76" t="e">
        <f>HLOOKUP(Roster!$E$14,Team!$BL$2:$MK$128,61,FALSE)</f>
        <v>#N/A</v>
      </c>
      <c r="AK62" s="76" t="e">
        <f>HLOOKUP(Roster!$E$15,Team!$BL$2:$MK$128,61,FALSE)</f>
        <v>#N/A</v>
      </c>
      <c r="AL62" s="76" t="e">
        <f>HLOOKUP(Roster!$E$16,Team!$BL$2:$MK$128,61,FALSE)</f>
        <v>#N/A</v>
      </c>
      <c r="AM62" s="76" t="e">
        <f>HLOOKUP(Roster!$E$17,Team!$BL$2:$MK$128,61,FALSE)</f>
        <v>#N/A</v>
      </c>
      <c r="AN62" s="76" t="e">
        <f>HLOOKUP(Roster!$E$18,Team!$BL$2:$MK$128,61,FALSE)</f>
        <v>#N/A</v>
      </c>
      <c r="AO62" s="76" t="e">
        <f>HLOOKUP(Roster!$E$19,Team!$BL$2:$MK$128,61,FALSE)</f>
        <v>#N/A</v>
      </c>
      <c r="AP62" s="76" t="e">
        <f>HLOOKUP(Roster!$E$20,Team!$BL$2:$MK$128,61,FALSE)</f>
        <v>#N/A</v>
      </c>
      <c r="AR62" s="108">
        <f t="shared" si="1"/>
        <v>0</v>
      </c>
      <c r="AS62" s="108">
        <f t="shared" si="2"/>
        <v>0</v>
      </c>
      <c r="AT62" s="108">
        <f t="shared" si="3"/>
        <v>0</v>
      </c>
      <c r="AU62" s="108">
        <f t="shared" si="4"/>
        <v>0</v>
      </c>
      <c r="AV62" s="108">
        <f t="shared" si="5"/>
        <v>0</v>
      </c>
      <c r="AW62" s="108">
        <f t="shared" si="6"/>
        <v>0</v>
      </c>
      <c r="AX62" s="108">
        <f t="shared" si="7"/>
        <v>0</v>
      </c>
      <c r="AY62" s="108">
        <f t="shared" si="8"/>
        <v>0</v>
      </c>
      <c r="AZ62" s="108">
        <f t="shared" si="9"/>
        <v>0</v>
      </c>
      <c r="BA62" s="108">
        <f t="shared" si="10"/>
        <v>0</v>
      </c>
      <c r="BB62" s="108">
        <f t="shared" si="11"/>
        <v>0</v>
      </c>
      <c r="BC62" s="108">
        <f t="shared" si="12"/>
        <v>0</v>
      </c>
      <c r="BD62" s="108">
        <f t="shared" si="13"/>
        <v>0</v>
      </c>
      <c r="BE62" s="108">
        <f t="shared" si="14"/>
        <v>0</v>
      </c>
      <c r="BF62" s="108">
        <f t="shared" si="15"/>
        <v>0</v>
      </c>
      <c r="BG62" s="108">
        <f t="shared" si="16"/>
        <v>0</v>
      </c>
      <c r="BL62" s="75" t="s">
        <v>345</v>
      </c>
      <c r="BM62" s="75" t="s">
        <v>574</v>
      </c>
      <c r="BN62" s="75" t="s">
        <v>345</v>
      </c>
      <c r="BO62" s="75" t="s">
        <v>345</v>
      </c>
      <c r="BP62" s="75" t="s">
        <v>345</v>
      </c>
      <c r="BQ62" s="75"/>
      <c r="BR62" s="75" t="s">
        <v>574</v>
      </c>
      <c r="BS62" s="75" t="s">
        <v>574</v>
      </c>
      <c r="BT62" s="75" t="s">
        <v>574</v>
      </c>
      <c r="BU62" s="75" t="s">
        <v>574</v>
      </c>
      <c r="BV62" s="75"/>
      <c r="BW62" s="81" t="s">
        <v>227</v>
      </c>
      <c r="BX62" s="81" t="s">
        <v>574</v>
      </c>
      <c r="BY62" s="81" t="s">
        <v>574</v>
      </c>
      <c r="BZ62" s="81" t="s">
        <v>574</v>
      </c>
      <c r="CA62" s="81" t="s">
        <v>574</v>
      </c>
      <c r="CB62" s="81" t="s">
        <v>227</v>
      </c>
      <c r="CC62" s="77"/>
      <c r="CD62" s="75" t="s">
        <v>345</v>
      </c>
      <c r="CE62" s="81" t="s">
        <v>574</v>
      </c>
      <c r="CF62" s="75" t="s">
        <v>345</v>
      </c>
      <c r="CG62" s="81" t="s">
        <v>574</v>
      </c>
      <c r="CH62" s="75" t="s">
        <v>345</v>
      </c>
      <c r="CI62" s="77"/>
      <c r="CJ62" s="81" t="s">
        <v>574</v>
      </c>
      <c r="CK62" s="81" t="s">
        <v>227</v>
      </c>
      <c r="CL62" s="81" t="s">
        <v>321</v>
      </c>
      <c r="CM62" s="81" t="s">
        <v>574</v>
      </c>
      <c r="CN62" s="81" t="s">
        <v>574</v>
      </c>
      <c r="CO62" s="81" t="s">
        <v>227</v>
      </c>
      <c r="CP62" s="81" t="s">
        <v>574</v>
      </c>
      <c r="CQ62" s="81" t="s">
        <v>574</v>
      </c>
      <c r="CR62" s="81" t="s">
        <v>574</v>
      </c>
      <c r="CS62" s="81" t="s">
        <v>574</v>
      </c>
      <c r="CT62" s="81" t="s">
        <v>574</v>
      </c>
      <c r="CU62" s="81"/>
      <c r="CV62" s="75" t="s">
        <v>574</v>
      </c>
      <c r="CW62" s="75" t="s">
        <v>574</v>
      </c>
      <c r="CX62" s="75" t="s">
        <v>574</v>
      </c>
      <c r="CY62" s="75" t="s">
        <v>574</v>
      </c>
      <c r="CZ62" s="75" t="s">
        <v>574</v>
      </c>
      <c r="DA62" s="81"/>
      <c r="DB62" s="75" t="s">
        <v>345</v>
      </c>
      <c r="DC62" s="75" t="s">
        <v>574</v>
      </c>
      <c r="DD62" s="75" t="s">
        <v>574</v>
      </c>
      <c r="DE62" s="75" t="s">
        <v>574</v>
      </c>
      <c r="DF62" s="75" t="s">
        <v>574</v>
      </c>
      <c r="DG62" s="75" t="s">
        <v>345</v>
      </c>
      <c r="DH62" s="75"/>
      <c r="DI62" s="75" t="s">
        <v>345</v>
      </c>
      <c r="DJ62" s="75" t="s">
        <v>574</v>
      </c>
      <c r="DK62" s="75" t="s">
        <v>574</v>
      </c>
      <c r="DL62" s="75" t="s">
        <v>345</v>
      </c>
      <c r="DM62" s="75" t="s">
        <v>345</v>
      </c>
      <c r="DN62" s="75" t="s">
        <v>345</v>
      </c>
      <c r="DO62" s="75"/>
      <c r="DP62" s="75" t="s">
        <v>345</v>
      </c>
      <c r="DQ62" s="75" t="s">
        <v>574</v>
      </c>
      <c r="DR62" s="75" t="s">
        <v>345</v>
      </c>
      <c r="DS62" s="75" t="s">
        <v>574</v>
      </c>
      <c r="DT62" s="75" t="s">
        <v>345</v>
      </c>
      <c r="DU62" s="75"/>
      <c r="DV62" s="75" t="s">
        <v>574</v>
      </c>
      <c r="DW62" s="75" t="s">
        <v>574</v>
      </c>
      <c r="DX62" s="75" t="s">
        <v>345</v>
      </c>
      <c r="DY62" s="75" t="s">
        <v>345</v>
      </c>
      <c r="DZ62" s="75" t="s">
        <v>574</v>
      </c>
      <c r="EA62" s="75" t="s">
        <v>574</v>
      </c>
      <c r="EB62" s="75" t="s">
        <v>345</v>
      </c>
      <c r="EC62" s="75" t="s">
        <v>574</v>
      </c>
      <c r="ED62" s="75" t="s">
        <v>574</v>
      </c>
      <c r="EE62" s="75"/>
      <c r="EF62" s="75" t="s">
        <v>345</v>
      </c>
      <c r="EG62" s="75" t="s">
        <v>574</v>
      </c>
      <c r="EH62" s="75" t="s">
        <v>345</v>
      </c>
      <c r="EI62" s="75" t="s">
        <v>574</v>
      </c>
      <c r="EJ62" s="75" t="s">
        <v>345</v>
      </c>
      <c r="EK62" s="75"/>
      <c r="EL62" s="75" t="s">
        <v>574</v>
      </c>
      <c r="EM62" s="75" t="s">
        <v>574</v>
      </c>
      <c r="EN62" s="75" t="s">
        <v>345</v>
      </c>
      <c r="EO62" s="75" t="s">
        <v>574</v>
      </c>
      <c r="EP62" s="75" t="s">
        <v>574</v>
      </c>
      <c r="EQ62" s="75"/>
      <c r="ER62" s="75" t="s">
        <v>345</v>
      </c>
      <c r="ES62" s="75" t="s">
        <v>574</v>
      </c>
      <c r="ET62" s="75" t="s">
        <v>574</v>
      </c>
      <c r="EU62" s="75" t="s">
        <v>574</v>
      </c>
      <c r="EV62" s="75" t="s">
        <v>345</v>
      </c>
      <c r="EW62" s="75" t="s">
        <v>345</v>
      </c>
      <c r="EX62" s="75" t="s">
        <v>345</v>
      </c>
      <c r="EY62" s="75"/>
      <c r="EZ62" s="75" t="s">
        <v>345</v>
      </c>
      <c r="FA62" s="75" t="s">
        <v>574</v>
      </c>
      <c r="FB62" s="75" t="s">
        <v>574</v>
      </c>
      <c r="FC62" s="75" t="s">
        <v>345</v>
      </c>
      <c r="FD62" s="75" t="s">
        <v>345</v>
      </c>
      <c r="FE62" s="75" t="s">
        <v>345</v>
      </c>
      <c r="FF62" s="75"/>
      <c r="FG62" s="81" t="s">
        <v>574</v>
      </c>
      <c r="FH62" s="81" t="s">
        <v>227</v>
      </c>
      <c r="FI62" s="81" t="s">
        <v>574</v>
      </c>
      <c r="FJ62" s="81" t="s">
        <v>574</v>
      </c>
      <c r="FK62" s="81" t="s">
        <v>574</v>
      </c>
      <c r="FL62" s="75"/>
      <c r="FM62" s="75" t="s">
        <v>574</v>
      </c>
      <c r="FN62" s="75" t="s">
        <v>574</v>
      </c>
      <c r="FO62" s="75" t="s">
        <v>345</v>
      </c>
      <c r="FP62" s="75" t="s">
        <v>345</v>
      </c>
      <c r="FQ62" s="75" t="s">
        <v>574</v>
      </c>
      <c r="FR62" s="75"/>
      <c r="FS62" s="75" t="s">
        <v>345</v>
      </c>
      <c r="FT62" s="75" t="s">
        <v>574</v>
      </c>
      <c r="FU62" s="75" t="s">
        <v>345</v>
      </c>
      <c r="FV62" s="75" t="s">
        <v>574</v>
      </c>
      <c r="FW62" s="75" t="s">
        <v>345</v>
      </c>
      <c r="FX62" s="75" t="s">
        <v>345</v>
      </c>
      <c r="FY62" s="75"/>
      <c r="FZ62" s="75" t="s">
        <v>574</v>
      </c>
      <c r="GA62" s="75"/>
      <c r="GB62" s="75" t="s">
        <v>574</v>
      </c>
      <c r="GC62" s="75" t="s">
        <v>574</v>
      </c>
      <c r="GD62" s="75" t="s">
        <v>345</v>
      </c>
      <c r="GE62" s="75" t="s">
        <v>345</v>
      </c>
      <c r="GF62" s="75" t="s">
        <v>574</v>
      </c>
      <c r="GG62" s="75"/>
      <c r="GH62" s="81" t="s">
        <v>574</v>
      </c>
      <c r="GI62" s="81" t="s">
        <v>227</v>
      </c>
      <c r="GJ62" s="81" t="s">
        <v>574</v>
      </c>
      <c r="GK62" s="81" t="s">
        <v>574</v>
      </c>
      <c r="GL62" s="81" t="s">
        <v>574</v>
      </c>
      <c r="GM62" s="81"/>
      <c r="GO62" s="75" t="s">
        <v>574</v>
      </c>
      <c r="GP62" s="75" t="s">
        <v>574</v>
      </c>
      <c r="GS62" s="75" t="s">
        <v>345</v>
      </c>
      <c r="GT62" s="75" t="s">
        <v>574</v>
      </c>
      <c r="GU62" s="75" t="s">
        <v>345</v>
      </c>
      <c r="GV62" s="75" t="s">
        <v>345</v>
      </c>
      <c r="GW62" s="75" t="s">
        <v>345</v>
      </c>
      <c r="GX62" s="75" t="s">
        <v>574</v>
      </c>
      <c r="GY62" s="75" t="s">
        <v>345</v>
      </c>
      <c r="GZ62" s="75" t="s">
        <v>345</v>
      </c>
      <c r="HA62" s="75" t="s">
        <v>345</v>
      </c>
      <c r="HB62" s="75" t="s">
        <v>345</v>
      </c>
      <c r="HC62" s="75" t="s">
        <v>574</v>
      </c>
      <c r="HD62" s="75" t="s">
        <v>345</v>
      </c>
      <c r="HE62" s="75"/>
      <c r="HF62" s="75" t="s">
        <v>345</v>
      </c>
      <c r="HG62" s="75" t="s">
        <v>574</v>
      </c>
      <c r="HH62" s="75" t="s">
        <v>574</v>
      </c>
      <c r="HI62" s="75" t="s">
        <v>345</v>
      </c>
      <c r="HJ62" s="75" t="s">
        <v>345</v>
      </c>
      <c r="HK62" s="75" t="s">
        <v>574</v>
      </c>
      <c r="HL62" s="75" t="s">
        <v>345</v>
      </c>
      <c r="HM62" s="75"/>
      <c r="HN62" s="75" t="s">
        <v>345</v>
      </c>
      <c r="HO62" s="75" t="s">
        <v>345</v>
      </c>
      <c r="HP62" s="75" t="s">
        <v>574</v>
      </c>
      <c r="HQ62" s="75" t="s">
        <v>574</v>
      </c>
      <c r="HR62" s="75" t="s">
        <v>345</v>
      </c>
      <c r="HS62" s="75" t="s">
        <v>345</v>
      </c>
      <c r="HT62" s="75"/>
      <c r="HU62" s="75" t="s">
        <v>345</v>
      </c>
      <c r="HV62" s="75" t="s">
        <v>574</v>
      </c>
      <c r="HW62" s="75" t="s">
        <v>345</v>
      </c>
      <c r="HX62" s="75" t="s">
        <v>345</v>
      </c>
      <c r="HY62" s="75" t="s">
        <v>345</v>
      </c>
      <c r="HZ62" s="75" t="s">
        <v>345</v>
      </c>
      <c r="IA62" s="75"/>
      <c r="IB62" s="81" t="s">
        <v>574</v>
      </c>
      <c r="IC62" s="81" t="s">
        <v>227</v>
      </c>
      <c r="ID62" s="81" t="s">
        <v>227</v>
      </c>
      <c r="IE62" s="81" t="s">
        <v>227</v>
      </c>
      <c r="IF62" s="81" t="s">
        <v>574</v>
      </c>
      <c r="IG62" s="81" t="s">
        <v>574</v>
      </c>
      <c r="IH62" s="81"/>
      <c r="II62" s="75" t="s">
        <v>574</v>
      </c>
      <c r="IJ62" s="75" t="s">
        <v>574</v>
      </c>
      <c r="IK62" s="75" t="s">
        <v>574</v>
      </c>
      <c r="IL62" s="75" t="s">
        <v>574</v>
      </c>
      <c r="IM62" s="75" t="s">
        <v>574</v>
      </c>
      <c r="IN62" s="81"/>
      <c r="IP62" s="75" t="s">
        <v>345</v>
      </c>
      <c r="IS62" s="75" t="s">
        <v>345</v>
      </c>
      <c r="IT62" s="75" t="s">
        <v>574</v>
      </c>
      <c r="IW62" s="75" t="s">
        <v>345</v>
      </c>
      <c r="IX62" s="75" t="s">
        <v>345</v>
      </c>
      <c r="IY62" s="75" t="s">
        <v>574</v>
      </c>
      <c r="IZ62" s="75" t="s">
        <v>345</v>
      </c>
      <c r="JA62" s="75" t="s">
        <v>345</v>
      </c>
      <c r="JC62" s="81" t="s">
        <v>574</v>
      </c>
      <c r="JD62" s="81" t="s">
        <v>345</v>
      </c>
      <c r="JE62" s="81" t="s">
        <v>574</v>
      </c>
      <c r="JF62" s="81" t="s">
        <v>227</v>
      </c>
      <c r="JG62" s="81" t="s">
        <v>227</v>
      </c>
      <c r="JH62" s="81" t="s">
        <v>227</v>
      </c>
      <c r="JI62" s="81" t="s">
        <v>227</v>
      </c>
      <c r="JJ62" s="81" t="s">
        <v>574</v>
      </c>
      <c r="JK62" s="81" t="s">
        <v>574</v>
      </c>
      <c r="JL62" s="81"/>
      <c r="JM62" s="75" t="s">
        <v>345</v>
      </c>
      <c r="JN62" s="75" t="s">
        <v>574</v>
      </c>
      <c r="JO62" s="75" t="s">
        <v>345</v>
      </c>
      <c r="JP62" s="81"/>
      <c r="JQ62" s="75" t="s">
        <v>345</v>
      </c>
      <c r="JR62" s="75" t="s">
        <v>574</v>
      </c>
      <c r="JS62" s="75" t="s">
        <v>574</v>
      </c>
      <c r="JT62" s="75" t="s">
        <v>574</v>
      </c>
      <c r="JU62" s="75" t="s">
        <v>345</v>
      </c>
      <c r="JV62" s="75" t="s">
        <v>345</v>
      </c>
    </row>
    <row r="63" spans="1:282" x14ac:dyDescent="0.15">
      <c r="A63" s="214" t="s">
        <v>544</v>
      </c>
      <c r="B63" s="6" t="s">
        <v>19</v>
      </c>
      <c r="C63" s="6">
        <v>40000</v>
      </c>
      <c r="D63" s="6">
        <v>11</v>
      </c>
      <c r="E63" s="6">
        <v>6</v>
      </c>
      <c r="F63" s="6">
        <v>2</v>
      </c>
      <c r="G63" s="6" t="s">
        <v>36</v>
      </c>
      <c r="H63" s="6" t="s">
        <v>37</v>
      </c>
      <c r="I63" s="6" t="s">
        <v>38</v>
      </c>
      <c r="J63" s="21" t="s">
        <v>106</v>
      </c>
      <c r="K63" s="21">
        <v>2</v>
      </c>
      <c r="L63" s="21">
        <v>1</v>
      </c>
      <c r="M63" s="21">
        <v>2</v>
      </c>
      <c r="N63" s="21">
        <v>2</v>
      </c>
      <c r="O63" s="21">
        <v>0</v>
      </c>
      <c r="P63" s="21" t="str">
        <f>IF(TeamT[[#This Row],[General]]+TeamT[[#This Row],[Agility]]+TeamT[[#This Row],[Strength]]+TeamT[[#This Row],[Passing]]+TeamT[[#This Row],[Mutation]]&gt;0,IF(TeamT[[#This Row],[General]]=1,"G","")&amp;IF(TeamT[[#This Row],[Agility]]=1,"A","")&amp;IF(TeamT[[#This Row],[Strength]]=1,"S","")&amp;IF(TeamT[[#This Row],[Passing]]=1,"P","")&amp;IF(TeamT[[#This Row],[Mutation]]=1,"M",""),"Star")</f>
        <v>A</v>
      </c>
      <c r="Q63" s="21" t="str">
        <f>IF(TeamT[[#This Row],[General]]=2,"G","")&amp;IF(TeamT[[#This Row],[Agility]]=2,"A","")&amp;IF(TeamT[[#This Row],[Strength]]=2,"S","")&amp;IF(TeamT[[#This Row],[Passing]]=2,"P","")&amp;IF(TeamT[[#This Row],[Mutation]]=2,"M","")</f>
        <v>GSP</v>
      </c>
      <c r="R63" s="212"/>
      <c r="S63" s="21">
        <v>3</v>
      </c>
      <c r="T63" s="21">
        <v>4</v>
      </c>
      <c r="U63" s="21">
        <v>8</v>
      </c>
      <c r="AA63" s="76" t="e">
        <f>HLOOKUP(Roster!$E$5,Team!$BL$2:$MK$128,62,FALSE)</f>
        <v>#N/A</v>
      </c>
      <c r="AB63" s="76" t="e">
        <f>HLOOKUP(Roster!$E$6,Team!$BL$2:$MK$128,62,FALSE)</f>
        <v>#N/A</v>
      </c>
      <c r="AC63" s="76" t="e">
        <f>HLOOKUP(Roster!$E$7,Team!$BL$2:$MK$128,62,FALSE)</f>
        <v>#N/A</v>
      </c>
      <c r="AD63" s="76" t="e">
        <f>HLOOKUP(Roster!$E$8,Team!$BL$2:$MK$128,62,FALSE)</f>
        <v>#N/A</v>
      </c>
      <c r="AE63" s="76" t="e">
        <f>HLOOKUP(Roster!$E$9,Team!$BL$2:$MK$128,62,FALSE)</f>
        <v>#N/A</v>
      </c>
      <c r="AF63" s="76" t="e">
        <f>HLOOKUP(Roster!$E$10,Team!$BL$2:$MK$128,62,FALSE)</f>
        <v>#N/A</v>
      </c>
      <c r="AG63" s="76" t="e">
        <f>HLOOKUP(Roster!$E$11,Team!$BL$2:$MK$128,62,FALSE)</f>
        <v>#N/A</v>
      </c>
      <c r="AH63" s="76" t="e">
        <f>HLOOKUP(Roster!$E$12,Team!$BL$2:$MK$128,62,FALSE)</f>
        <v>#N/A</v>
      </c>
      <c r="AI63" s="76" t="e">
        <f>HLOOKUP(Roster!$E$13,Team!$BL$2:$MK$128,62,FALSE)</f>
        <v>#N/A</v>
      </c>
      <c r="AJ63" s="76" t="e">
        <f>HLOOKUP(Roster!$E$14,Team!$BL$2:$MK$128,62,FALSE)</f>
        <v>#N/A</v>
      </c>
      <c r="AK63" s="76" t="e">
        <f>HLOOKUP(Roster!$E$15,Team!$BL$2:$MK$128,62,FALSE)</f>
        <v>#N/A</v>
      </c>
      <c r="AL63" s="76" t="e">
        <f>HLOOKUP(Roster!$E$16,Team!$BL$2:$MK$128,62,FALSE)</f>
        <v>#N/A</v>
      </c>
      <c r="AM63" s="76" t="e">
        <f>HLOOKUP(Roster!$E$17,Team!$BL$2:$MK$128,62,FALSE)</f>
        <v>#N/A</v>
      </c>
      <c r="AN63" s="76" t="e">
        <f>HLOOKUP(Roster!$E$18,Team!$BL$2:$MK$128,62,FALSE)</f>
        <v>#N/A</v>
      </c>
      <c r="AO63" s="76" t="e">
        <f>HLOOKUP(Roster!$E$19,Team!$BL$2:$MK$128,62,FALSE)</f>
        <v>#N/A</v>
      </c>
      <c r="AP63" s="76" t="e">
        <f>HLOOKUP(Roster!$E$20,Team!$BL$2:$MK$128,62,FALSE)</f>
        <v>#N/A</v>
      </c>
      <c r="AR63" s="108">
        <f t="shared" si="1"/>
        <v>0</v>
      </c>
      <c r="AS63" s="108">
        <f t="shared" si="2"/>
        <v>0</v>
      </c>
      <c r="AT63" s="108">
        <f t="shared" si="3"/>
        <v>0</v>
      </c>
      <c r="AU63" s="108">
        <f t="shared" si="4"/>
        <v>0</v>
      </c>
      <c r="AV63" s="108">
        <f t="shared" si="5"/>
        <v>0</v>
      </c>
      <c r="AW63" s="108">
        <f t="shared" si="6"/>
        <v>0</v>
      </c>
      <c r="AX63" s="108">
        <f t="shared" si="7"/>
        <v>0</v>
      </c>
      <c r="AY63" s="108">
        <f t="shared" si="8"/>
        <v>0</v>
      </c>
      <c r="AZ63" s="108">
        <f t="shared" si="9"/>
        <v>0</v>
      </c>
      <c r="BA63" s="108">
        <f t="shared" si="10"/>
        <v>0</v>
      </c>
      <c r="BB63" s="108">
        <f t="shared" si="11"/>
        <v>0</v>
      </c>
      <c r="BC63" s="108">
        <f t="shared" si="12"/>
        <v>0</v>
      </c>
      <c r="BD63" s="108">
        <f t="shared" si="13"/>
        <v>0</v>
      </c>
      <c r="BE63" s="108">
        <f t="shared" si="14"/>
        <v>0</v>
      </c>
      <c r="BF63" s="108">
        <f t="shared" si="15"/>
        <v>0</v>
      </c>
      <c r="BG63" s="108">
        <f t="shared" si="16"/>
        <v>0</v>
      </c>
      <c r="BL63" s="75" t="s">
        <v>346</v>
      </c>
      <c r="BM63" s="75" t="s">
        <v>310</v>
      </c>
      <c r="BN63" s="75" t="s">
        <v>346</v>
      </c>
      <c r="BO63" s="75" t="s">
        <v>346</v>
      </c>
      <c r="BP63" s="75" t="s">
        <v>346</v>
      </c>
      <c r="BQ63" s="75"/>
      <c r="BR63" s="75" t="s">
        <v>310</v>
      </c>
      <c r="BS63" s="75" t="s">
        <v>310</v>
      </c>
      <c r="BT63" s="75" t="s">
        <v>310</v>
      </c>
      <c r="BU63" s="75" t="s">
        <v>310</v>
      </c>
      <c r="BV63" s="75"/>
      <c r="BW63" s="81" t="s">
        <v>228</v>
      </c>
      <c r="BX63" s="81" t="s">
        <v>310</v>
      </c>
      <c r="BY63" s="81" t="s">
        <v>310</v>
      </c>
      <c r="BZ63" s="81" t="s">
        <v>310</v>
      </c>
      <c r="CA63" s="81" t="s">
        <v>310</v>
      </c>
      <c r="CB63" s="81" t="s">
        <v>228</v>
      </c>
      <c r="CC63" s="77"/>
      <c r="CD63" s="75" t="s">
        <v>346</v>
      </c>
      <c r="CE63" s="81" t="s">
        <v>310</v>
      </c>
      <c r="CF63" s="75" t="s">
        <v>346</v>
      </c>
      <c r="CG63" s="81" t="s">
        <v>310</v>
      </c>
      <c r="CH63" s="75" t="s">
        <v>346</v>
      </c>
      <c r="CI63" s="77"/>
      <c r="CJ63" s="81" t="s">
        <v>310</v>
      </c>
      <c r="CK63" s="81" t="s">
        <v>228</v>
      </c>
      <c r="CL63" s="81" t="s">
        <v>322</v>
      </c>
      <c r="CM63" s="81" t="s">
        <v>310</v>
      </c>
      <c r="CN63" s="81" t="s">
        <v>310</v>
      </c>
      <c r="CO63" s="81" t="s">
        <v>228</v>
      </c>
      <c r="CP63" s="81" t="s">
        <v>310</v>
      </c>
      <c r="CQ63" s="81" t="s">
        <v>310</v>
      </c>
      <c r="CR63" s="81" t="s">
        <v>310</v>
      </c>
      <c r="CS63" s="81" t="s">
        <v>310</v>
      </c>
      <c r="CT63" s="81" t="s">
        <v>310</v>
      </c>
      <c r="CU63" s="81"/>
      <c r="CV63" s="75" t="s">
        <v>310</v>
      </c>
      <c r="CW63" s="75" t="s">
        <v>310</v>
      </c>
      <c r="CX63" s="75" t="s">
        <v>310</v>
      </c>
      <c r="CY63" s="75" t="s">
        <v>310</v>
      </c>
      <c r="CZ63" s="75" t="s">
        <v>310</v>
      </c>
      <c r="DA63" s="81"/>
      <c r="DB63" s="75" t="s">
        <v>346</v>
      </c>
      <c r="DC63" s="75" t="s">
        <v>310</v>
      </c>
      <c r="DD63" s="75" t="s">
        <v>310</v>
      </c>
      <c r="DE63" s="75" t="s">
        <v>310</v>
      </c>
      <c r="DF63" s="75" t="s">
        <v>310</v>
      </c>
      <c r="DG63" s="75" t="s">
        <v>346</v>
      </c>
      <c r="DH63" s="75"/>
      <c r="DI63" s="75" t="s">
        <v>346</v>
      </c>
      <c r="DJ63" s="75" t="s">
        <v>310</v>
      </c>
      <c r="DK63" s="75" t="s">
        <v>310</v>
      </c>
      <c r="DL63" s="75" t="s">
        <v>346</v>
      </c>
      <c r="DM63" s="75" t="s">
        <v>346</v>
      </c>
      <c r="DN63" s="75" t="s">
        <v>346</v>
      </c>
      <c r="DO63" s="75"/>
      <c r="DP63" s="75" t="s">
        <v>346</v>
      </c>
      <c r="DQ63" s="75" t="s">
        <v>310</v>
      </c>
      <c r="DR63" s="75" t="s">
        <v>346</v>
      </c>
      <c r="DS63" s="75" t="s">
        <v>310</v>
      </c>
      <c r="DT63" s="75" t="s">
        <v>346</v>
      </c>
      <c r="DU63" s="75"/>
      <c r="DV63" s="75" t="s">
        <v>310</v>
      </c>
      <c r="DW63" s="75" t="s">
        <v>310</v>
      </c>
      <c r="DX63" s="75" t="s">
        <v>346</v>
      </c>
      <c r="DY63" s="75" t="s">
        <v>346</v>
      </c>
      <c r="DZ63" s="75" t="s">
        <v>310</v>
      </c>
      <c r="EA63" s="75" t="s">
        <v>310</v>
      </c>
      <c r="EB63" s="75" t="s">
        <v>346</v>
      </c>
      <c r="EC63" s="75" t="s">
        <v>310</v>
      </c>
      <c r="ED63" s="75" t="s">
        <v>310</v>
      </c>
      <c r="EE63" s="75"/>
      <c r="EF63" s="75" t="s">
        <v>346</v>
      </c>
      <c r="EG63" s="75" t="s">
        <v>310</v>
      </c>
      <c r="EH63" s="75" t="s">
        <v>346</v>
      </c>
      <c r="EI63" s="75" t="s">
        <v>310</v>
      </c>
      <c r="EJ63" s="75" t="s">
        <v>346</v>
      </c>
      <c r="EK63" s="75"/>
      <c r="EL63" s="75" t="s">
        <v>310</v>
      </c>
      <c r="EM63" s="75" t="s">
        <v>310</v>
      </c>
      <c r="EN63" s="75" t="s">
        <v>346</v>
      </c>
      <c r="EO63" s="75" t="s">
        <v>310</v>
      </c>
      <c r="EP63" s="75" t="s">
        <v>310</v>
      </c>
      <c r="EQ63" s="75"/>
      <c r="ER63" s="75" t="s">
        <v>346</v>
      </c>
      <c r="ES63" s="75" t="s">
        <v>310</v>
      </c>
      <c r="ET63" s="75" t="s">
        <v>310</v>
      </c>
      <c r="EU63" s="75" t="s">
        <v>310</v>
      </c>
      <c r="EV63" s="75" t="s">
        <v>346</v>
      </c>
      <c r="EW63" s="75" t="s">
        <v>346</v>
      </c>
      <c r="EX63" s="75" t="s">
        <v>346</v>
      </c>
      <c r="EY63" s="75"/>
      <c r="EZ63" s="75" t="s">
        <v>346</v>
      </c>
      <c r="FA63" s="75" t="s">
        <v>310</v>
      </c>
      <c r="FB63" s="75" t="s">
        <v>310</v>
      </c>
      <c r="FC63" s="75" t="s">
        <v>346</v>
      </c>
      <c r="FD63" s="75" t="s">
        <v>346</v>
      </c>
      <c r="FE63" s="75" t="s">
        <v>346</v>
      </c>
      <c r="FF63" s="75"/>
      <c r="FG63" s="81" t="s">
        <v>310</v>
      </c>
      <c r="FH63" s="81" t="s">
        <v>228</v>
      </c>
      <c r="FI63" s="81" t="s">
        <v>310</v>
      </c>
      <c r="FJ63" s="81" t="s">
        <v>310</v>
      </c>
      <c r="FK63" s="81" t="s">
        <v>310</v>
      </c>
      <c r="FL63" s="75"/>
      <c r="FM63" s="75" t="s">
        <v>310</v>
      </c>
      <c r="FN63" s="75" t="s">
        <v>310</v>
      </c>
      <c r="FO63" s="75" t="s">
        <v>346</v>
      </c>
      <c r="FP63" s="75" t="s">
        <v>346</v>
      </c>
      <c r="FQ63" s="75" t="s">
        <v>310</v>
      </c>
      <c r="FR63" s="75"/>
      <c r="FS63" s="75" t="s">
        <v>346</v>
      </c>
      <c r="FT63" s="75" t="s">
        <v>310</v>
      </c>
      <c r="FU63" s="75" t="s">
        <v>346</v>
      </c>
      <c r="FV63" s="75" t="s">
        <v>310</v>
      </c>
      <c r="FW63" s="75" t="s">
        <v>346</v>
      </c>
      <c r="FX63" s="75" t="s">
        <v>346</v>
      </c>
      <c r="FY63" s="75"/>
      <c r="FZ63" s="75" t="s">
        <v>310</v>
      </c>
      <c r="GA63" s="75"/>
      <c r="GB63" s="75" t="s">
        <v>310</v>
      </c>
      <c r="GC63" s="75" t="s">
        <v>310</v>
      </c>
      <c r="GD63" s="75" t="s">
        <v>346</v>
      </c>
      <c r="GE63" s="75" t="s">
        <v>346</v>
      </c>
      <c r="GF63" s="75" t="s">
        <v>310</v>
      </c>
      <c r="GG63" s="75"/>
      <c r="GH63" s="81" t="s">
        <v>310</v>
      </c>
      <c r="GI63" s="81" t="s">
        <v>228</v>
      </c>
      <c r="GJ63" s="81" t="s">
        <v>310</v>
      </c>
      <c r="GK63" s="81" t="s">
        <v>310</v>
      </c>
      <c r="GL63" s="81" t="s">
        <v>310</v>
      </c>
      <c r="GM63" s="81"/>
      <c r="GO63" s="75" t="s">
        <v>310</v>
      </c>
      <c r="GP63" s="75" t="s">
        <v>310</v>
      </c>
      <c r="GS63" s="75" t="s">
        <v>346</v>
      </c>
      <c r="GT63" s="75" t="s">
        <v>310</v>
      </c>
      <c r="GU63" s="75" t="s">
        <v>346</v>
      </c>
      <c r="GV63" s="75" t="s">
        <v>346</v>
      </c>
      <c r="GW63" s="75" t="s">
        <v>346</v>
      </c>
      <c r="GX63" s="75" t="s">
        <v>310</v>
      </c>
      <c r="GY63" s="75" t="s">
        <v>346</v>
      </c>
      <c r="GZ63" s="75" t="s">
        <v>346</v>
      </c>
      <c r="HA63" s="75" t="s">
        <v>346</v>
      </c>
      <c r="HB63" s="75" t="s">
        <v>346</v>
      </c>
      <c r="HC63" s="75" t="s">
        <v>310</v>
      </c>
      <c r="HD63" s="75" t="s">
        <v>346</v>
      </c>
      <c r="HE63" s="75"/>
      <c r="HF63" s="75" t="s">
        <v>346</v>
      </c>
      <c r="HG63" s="75" t="s">
        <v>310</v>
      </c>
      <c r="HH63" s="75" t="s">
        <v>310</v>
      </c>
      <c r="HI63" s="75" t="s">
        <v>346</v>
      </c>
      <c r="HJ63" s="75" t="s">
        <v>346</v>
      </c>
      <c r="HK63" s="75" t="s">
        <v>310</v>
      </c>
      <c r="HL63" s="75" t="s">
        <v>346</v>
      </c>
      <c r="HM63" s="75"/>
      <c r="HN63" s="75" t="s">
        <v>346</v>
      </c>
      <c r="HO63" s="75" t="s">
        <v>346</v>
      </c>
      <c r="HP63" s="75" t="s">
        <v>310</v>
      </c>
      <c r="HQ63" s="75" t="s">
        <v>310</v>
      </c>
      <c r="HR63" s="75" t="s">
        <v>346</v>
      </c>
      <c r="HS63" s="75" t="s">
        <v>346</v>
      </c>
      <c r="HT63" s="75"/>
      <c r="HU63" s="75" t="s">
        <v>346</v>
      </c>
      <c r="HV63" s="75" t="s">
        <v>310</v>
      </c>
      <c r="HW63" s="75" t="s">
        <v>346</v>
      </c>
      <c r="HX63" s="75" t="s">
        <v>346</v>
      </c>
      <c r="HY63" s="75" t="s">
        <v>346</v>
      </c>
      <c r="HZ63" s="75" t="s">
        <v>346</v>
      </c>
      <c r="IA63" s="75"/>
      <c r="IB63" s="81" t="s">
        <v>310</v>
      </c>
      <c r="IC63" s="81" t="s">
        <v>228</v>
      </c>
      <c r="ID63" s="81" t="s">
        <v>228</v>
      </c>
      <c r="IE63" s="81" t="s">
        <v>228</v>
      </c>
      <c r="IF63" s="81" t="s">
        <v>310</v>
      </c>
      <c r="IG63" s="81" t="s">
        <v>310</v>
      </c>
      <c r="IH63" s="81"/>
      <c r="II63" s="75" t="s">
        <v>310</v>
      </c>
      <c r="IJ63" s="75" t="s">
        <v>310</v>
      </c>
      <c r="IK63" s="75" t="s">
        <v>310</v>
      </c>
      <c r="IL63" s="75" t="s">
        <v>310</v>
      </c>
      <c r="IM63" s="75" t="s">
        <v>310</v>
      </c>
      <c r="IN63" s="81"/>
      <c r="IP63" s="75" t="s">
        <v>346</v>
      </c>
      <c r="IS63" s="75" t="s">
        <v>346</v>
      </c>
      <c r="IT63" s="75" t="s">
        <v>310</v>
      </c>
      <c r="IW63" s="75" t="s">
        <v>346</v>
      </c>
      <c r="IX63" s="75" t="s">
        <v>346</v>
      </c>
      <c r="IY63" s="75" t="s">
        <v>310</v>
      </c>
      <c r="IZ63" s="75" t="s">
        <v>346</v>
      </c>
      <c r="JA63" s="75" t="s">
        <v>346</v>
      </c>
      <c r="JC63" s="81" t="s">
        <v>310</v>
      </c>
      <c r="JD63" s="81" t="s">
        <v>346</v>
      </c>
      <c r="JE63" s="81" t="s">
        <v>310</v>
      </c>
      <c r="JF63" s="81" t="s">
        <v>228</v>
      </c>
      <c r="JG63" s="81" t="s">
        <v>228</v>
      </c>
      <c r="JH63" s="81" t="s">
        <v>228</v>
      </c>
      <c r="JI63" s="81" t="s">
        <v>228</v>
      </c>
      <c r="JJ63" s="81" t="s">
        <v>310</v>
      </c>
      <c r="JK63" s="81" t="s">
        <v>310</v>
      </c>
      <c r="JL63" s="81"/>
      <c r="JM63" s="75" t="s">
        <v>346</v>
      </c>
      <c r="JN63" s="75" t="s">
        <v>310</v>
      </c>
      <c r="JO63" s="75" t="s">
        <v>346</v>
      </c>
      <c r="JP63" s="81"/>
      <c r="JQ63" s="75" t="s">
        <v>346</v>
      </c>
      <c r="JR63" s="75" t="s">
        <v>310</v>
      </c>
      <c r="JS63" s="75" t="s">
        <v>310</v>
      </c>
      <c r="JT63" s="75" t="s">
        <v>310</v>
      </c>
      <c r="JU63" s="75" t="s">
        <v>346</v>
      </c>
      <c r="JV63" s="75" t="s">
        <v>346</v>
      </c>
    </row>
    <row r="64" spans="1:282" x14ac:dyDescent="0.15">
      <c r="A64" s="214" t="s">
        <v>498</v>
      </c>
      <c r="B64" s="6" t="s">
        <v>20</v>
      </c>
      <c r="C64" s="6">
        <v>30000</v>
      </c>
      <c r="D64" s="6">
        <v>16</v>
      </c>
      <c r="E64" s="6">
        <v>5</v>
      </c>
      <c r="F64" s="6">
        <v>2</v>
      </c>
      <c r="G64" s="6" t="s">
        <v>36</v>
      </c>
      <c r="H64" s="6" t="s">
        <v>37</v>
      </c>
      <c r="I64" s="6" t="s">
        <v>103</v>
      </c>
      <c r="J64" s="21" t="s">
        <v>95</v>
      </c>
      <c r="K64" s="21">
        <v>2</v>
      </c>
      <c r="L64" s="21">
        <v>1</v>
      </c>
      <c r="M64" s="21">
        <v>2</v>
      </c>
      <c r="N64" s="21">
        <v>0</v>
      </c>
      <c r="O64" s="21">
        <v>0</v>
      </c>
      <c r="P64" s="21" t="str">
        <f>IF(TeamT[[#This Row],[General]]+TeamT[[#This Row],[Agility]]+TeamT[[#This Row],[Strength]]+TeamT[[#This Row],[Passing]]+TeamT[[#This Row],[Mutation]]&gt;0,IF(TeamT[[#This Row],[General]]=1,"G","")&amp;IF(TeamT[[#This Row],[Agility]]=1,"A","")&amp;IF(TeamT[[#This Row],[Strength]]=1,"S","")&amp;IF(TeamT[[#This Row],[Passing]]=1,"P","")&amp;IF(TeamT[[#This Row],[Mutation]]=1,"M",""),"Star")</f>
        <v>A</v>
      </c>
      <c r="Q64" s="21" t="str">
        <f>IF(TeamT[[#This Row],[General]]=2,"G","")&amp;IF(TeamT[[#This Row],[Agility]]=2,"A","")&amp;IF(TeamT[[#This Row],[Strength]]=2,"S","")&amp;IF(TeamT[[#This Row],[Passing]]=2,"P","")&amp;IF(TeamT[[#This Row],[Mutation]]=2,"M","")</f>
        <v>GS</v>
      </c>
      <c r="R64" s="212"/>
      <c r="S64" s="21">
        <v>3</v>
      </c>
      <c r="T64" s="21">
        <v>4</v>
      </c>
      <c r="U64" s="21">
        <v>7</v>
      </c>
      <c r="AA64" s="76" t="e">
        <f>HLOOKUP(Roster!$E$5,Team!$BL$2:$MK$128,63,FALSE)</f>
        <v>#N/A</v>
      </c>
      <c r="AB64" s="76" t="e">
        <f>HLOOKUP(Roster!$E$6,Team!$BL$2:$MK$128,63,FALSE)</f>
        <v>#N/A</v>
      </c>
      <c r="AC64" s="76" t="e">
        <f>HLOOKUP(Roster!$E$7,Team!$BL$2:$MK$128,63,FALSE)</f>
        <v>#N/A</v>
      </c>
      <c r="AD64" s="76" t="e">
        <f>HLOOKUP(Roster!$E$8,Team!$BL$2:$MK$128,63,FALSE)</f>
        <v>#N/A</v>
      </c>
      <c r="AE64" s="76" t="e">
        <f>HLOOKUP(Roster!$E$9,Team!$BL$2:$MK$128,63,FALSE)</f>
        <v>#N/A</v>
      </c>
      <c r="AF64" s="76" t="e">
        <f>HLOOKUP(Roster!$E$10,Team!$BL$2:$MK$128,63,FALSE)</f>
        <v>#N/A</v>
      </c>
      <c r="AG64" s="76" t="e">
        <f>HLOOKUP(Roster!$E$11,Team!$BL$2:$MK$128,63,FALSE)</f>
        <v>#N/A</v>
      </c>
      <c r="AH64" s="76" t="e">
        <f>HLOOKUP(Roster!$E$12,Team!$BL$2:$MK$128,63,FALSE)</f>
        <v>#N/A</v>
      </c>
      <c r="AI64" s="76" t="e">
        <f>HLOOKUP(Roster!$E$13,Team!$BL$2:$MK$128,63,FALSE)</f>
        <v>#N/A</v>
      </c>
      <c r="AJ64" s="76" t="e">
        <f>HLOOKUP(Roster!$E$14,Team!$BL$2:$MK$128,63,FALSE)</f>
        <v>#N/A</v>
      </c>
      <c r="AK64" s="76" t="e">
        <f>HLOOKUP(Roster!$E$15,Team!$BL$2:$MK$128,63,FALSE)</f>
        <v>#N/A</v>
      </c>
      <c r="AL64" s="76" t="e">
        <f>HLOOKUP(Roster!$E$16,Team!$BL$2:$MK$128,63,FALSE)</f>
        <v>#N/A</v>
      </c>
      <c r="AM64" s="76" t="e">
        <f>HLOOKUP(Roster!$E$17,Team!$BL$2:$MK$128,63,FALSE)</f>
        <v>#N/A</v>
      </c>
      <c r="AN64" s="76" t="e">
        <f>HLOOKUP(Roster!$E$18,Team!$BL$2:$MK$128,63,FALSE)</f>
        <v>#N/A</v>
      </c>
      <c r="AO64" s="76" t="e">
        <f>HLOOKUP(Roster!$E$19,Team!$BL$2:$MK$128,63,FALSE)</f>
        <v>#N/A</v>
      </c>
      <c r="AP64" s="76" t="e">
        <f>HLOOKUP(Roster!$E$20,Team!$BL$2:$MK$128,63,FALSE)</f>
        <v>#N/A</v>
      </c>
      <c r="AR64" s="108">
        <f t="shared" si="1"/>
        <v>0</v>
      </c>
      <c r="AS64" s="108">
        <f t="shared" si="2"/>
        <v>0</v>
      </c>
      <c r="AT64" s="108">
        <f t="shared" si="3"/>
        <v>0</v>
      </c>
      <c r="AU64" s="108">
        <f t="shared" si="4"/>
        <v>0</v>
      </c>
      <c r="AV64" s="108">
        <f t="shared" si="5"/>
        <v>0</v>
      </c>
      <c r="AW64" s="108">
        <f t="shared" si="6"/>
        <v>0</v>
      </c>
      <c r="AX64" s="108">
        <f t="shared" si="7"/>
        <v>0</v>
      </c>
      <c r="AY64" s="108">
        <f t="shared" si="8"/>
        <v>0</v>
      </c>
      <c r="AZ64" s="108">
        <f t="shared" si="9"/>
        <v>0</v>
      </c>
      <c r="BA64" s="108">
        <f t="shared" si="10"/>
        <v>0</v>
      </c>
      <c r="BB64" s="108">
        <f t="shared" si="11"/>
        <v>0</v>
      </c>
      <c r="BC64" s="108">
        <f t="shared" si="12"/>
        <v>0</v>
      </c>
      <c r="BD64" s="108">
        <f t="shared" si="13"/>
        <v>0</v>
      </c>
      <c r="BE64" s="108">
        <f t="shared" si="14"/>
        <v>0</v>
      </c>
      <c r="BF64" s="108">
        <f t="shared" si="15"/>
        <v>0</v>
      </c>
      <c r="BG64" s="108">
        <f t="shared" si="16"/>
        <v>0</v>
      </c>
      <c r="BL64" s="75" t="s">
        <v>347</v>
      </c>
      <c r="BM64" s="75" t="s">
        <v>311</v>
      </c>
      <c r="BN64" s="75" t="s">
        <v>347</v>
      </c>
      <c r="BO64" s="75" t="s">
        <v>347</v>
      </c>
      <c r="BP64" s="75" t="s">
        <v>347</v>
      </c>
      <c r="BQ64" s="75"/>
      <c r="BR64" s="75" t="s">
        <v>311</v>
      </c>
      <c r="BS64" s="75" t="s">
        <v>311</v>
      </c>
      <c r="BT64" s="75" t="s">
        <v>311</v>
      </c>
      <c r="BU64" s="75" t="s">
        <v>311</v>
      </c>
      <c r="BV64" s="75"/>
      <c r="BW64" s="80" t="s">
        <v>260</v>
      </c>
      <c r="BX64" s="81" t="s">
        <v>311</v>
      </c>
      <c r="BY64" s="81" t="s">
        <v>311</v>
      </c>
      <c r="BZ64" s="81" t="s">
        <v>311</v>
      </c>
      <c r="CA64" s="81" t="s">
        <v>311</v>
      </c>
      <c r="CB64" s="80" t="s">
        <v>260</v>
      </c>
      <c r="CC64" s="77"/>
      <c r="CD64" s="75" t="s">
        <v>347</v>
      </c>
      <c r="CE64" s="81" t="s">
        <v>311</v>
      </c>
      <c r="CF64" s="75" t="s">
        <v>347</v>
      </c>
      <c r="CG64" s="81" t="s">
        <v>311</v>
      </c>
      <c r="CH64" s="75" t="s">
        <v>347</v>
      </c>
      <c r="CI64" s="77"/>
      <c r="CJ64" s="81" t="s">
        <v>311</v>
      </c>
      <c r="CK64" s="80" t="s">
        <v>260</v>
      </c>
      <c r="CL64" s="81" t="s">
        <v>323</v>
      </c>
      <c r="CM64" s="81" t="s">
        <v>311</v>
      </c>
      <c r="CN64" s="81" t="s">
        <v>311</v>
      </c>
      <c r="CO64" s="80" t="s">
        <v>260</v>
      </c>
      <c r="CP64" s="81" t="s">
        <v>311</v>
      </c>
      <c r="CQ64" s="81" t="s">
        <v>311</v>
      </c>
      <c r="CR64" s="81" t="s">
        <v>311</v>
      </c>
      <c r="CS64" s="81" t="s">
        <v>311</v>
      </c>
      <c r="CT64" s="81" t="s">
        <v>311</v>
      </c>
      <c r="CU64" s="81"/>
      <c r="CV64" s="75" t="s">
        <v>311</v>
      </c>
      <c r="CW64" s="75" t="s">
        <v>311</v>
      </c>
      <c r="CX64" s="75" t="s">
        <v>311</v>
      </c>
      <c r="CY64" s="75" t="s">
        <v>311</v>
      </c>
      <c r="CZ64" s="75" t="s">
        <v>311</v>
      </c>
      <c r="DA64" s="81"/>
      <c r="DB64" s="75" t="s">
        <v>347</v>
      </c>
      <c r="DC64" s="75" t="s">
        <v>311</v>
      </c>
      <c r="DD64" s="75" t="s">
        <v>311</v>
      </c>
      <c r="DE64" s="75" t="s">
        <v>311</v>
      </c>
      <c r="DF64" s="75" t="s">
        <v>311</v>
      </c>
      <c r="DG64" s="75" t="s">
        <v>347</v>
      </c>
      <c r="DH64" s="75"/>
      <c r="DI64" s="75" t="s">
        <v>347</v>
      </c>
      <c r="DJ64" s="75" t="s">
        <v>311</v>
      </c>
      <c r="DK64" s="75" t="s">
        <v>311</v>
      </c>
      <c r="DL64" s="75" t="s">
        <v>347</v>
      </c>
      <c r="DM64" s="75" t="s">
        <v>347</v>
      </c>
      <c r="DN64" s="75" t="s">
        <v>347</v>
      </c>
      <c r="DO64" s="75"/>
      <c r="DP64" s="75" t="s">
        <v>347</v>
      </c>
      <c r="DQ64" s="75" t="s">
        <v>311</v>
      </c>
      <c r="DR64" s="75" t="s">
        <v>347</v>
      </c>
      <c r="DS64" s="75" t="s">
        <v>311</v>
      </c>
      <c r="DT64" s="75" t="s">
        <v>347</v>
      </c>
      <c r="DU64" s="75"/>
      <c r="DV64" s="75" t="s">
        <v>311</v>
      </c>
      <c r="DW64" s="75" t="s">
        <v>311</v>
      </c>
      <c r="DX64" s="75" t="s">
        <v>347</v>
      </c>
      <c r="DY64" s="75" t="s">
        <v>347</v>
      </c>
      <c r="DZ64" s="75" t="s">
        <v>311</v>
      </c>
      <c r="EA64" s="75" t="s">
        <v>311</v>
      </c>
      <c r="EB64" s="75" t="s">
        <v>347</v>
      </c>
      <c r="EC64" s="75" t="s">
        <v>311</v>
      </c>
      <c r="ED64" s="75" t="s">
        <v>311</v>
      </c>
      <c r="EE64" s="75"/>
      <c r="EF64" s="75" t="s">
        <v>347</v>
      </c>
      <c r="EG64" s="75" t="s">
        <v>311</v>
      </c>
      <c r="EH64" s="75" t="s">
        <v>347</v>
      </c>
      <c r="EI64" s="75" t="s">
        <v>311</v>
      </c>
      <c r="EJ64" s="75" t="s">
        <v>347</v>
      </c>
      <c r="EK64" s="75"/>
      <c r="EL64" s="75" t="s">
        <v>311</v>
      </c>
      <c r="EM64" s="75" t="s">
        <v>311</v>
      </c>
      <c r="EN64" s="75" t="s">
        <v>347</v>
      </c>
      <c r="EO64" s="75" t="s">
        <v>311</v>
      </c>
      <c r="EP64" s="75" t="s">
        <v>311</v>
      </c>
      <c r="EQ64" s="75"/>
      <c r="ER64" s="75" t="s">
        <v>347</v>
      </c>
      <c r="ES64" s="75" t="s">
        <v>311</v>
      </c>
      <c r="ET64" s="75" t="s">
        <v>311</v>
      </c>
      <c r="EU64" s="75" t="s">
        <v>311</v>
      </c>
      <c r="EV64" s="75" t="s">
        <v>347</v>
      </c>
      <c r="EW64" s="75" t="s">
        <v>347</v>
      </c>
      <c r="EX64" s="75" t="s">
        <v>347</v>
      </c>
      <c r="EY64" s="75"/>
      <c r="EZ64" s="75" t="s">
        <v>347</v>
      </c>
      <c r="FA64" s="75" t="s">
        <v>311</v>
      </c>
      <c r="FB64" s="75" t="s">
        <v>311</v>
      </c>
      <c r="FC64" s="75" t="s">
        <v>347</v>
      </c>
      <c r="FD64" s="75" t="s">
        <v>347</v>
      </c>
      <c r="FE64" s="75" t="s">
        <v>347</v>
      </c>
      <c r="FF64" s="75"/>
      <c r="FG64" s="81" t="s">
        <v>311</v>
      </c>
      <c r="FH64" s="80" t="s">
        <v>260</v>
      </c>
      <c r="FI64" s="81" t="s">
        <v>311</v>
      </c>
      <c r="FJ64" s="81" t="s">
        <v>311</v>
      </c>
      <c r="FK64" s="81" t="s">
        <v>311</v>
      </c>
      <c r="FL64" s="75"/>
      <c r="FM64" s="75" t="s">
        <v>311</v>
      </c>
      <c r="FN64" s="75" t="s">
        <v>311</v>
      </c>
      <c r="FO64" s="75" t="s">
        <v>347</v>
      </c>
      <c r="FP64" s="75" t="s">
        <v>347</v>
      </c>
      <c r="FQ64" s="75" t="s">
        <v>311</v>
      </c>
      <c r="FR64" s="75"/>
      <c r="FS64" s="75" t="s">
        <v>347</v>
      </c>
      <c r="FT64" s="75" t="s">
        <v>311</v>
      </c>
      <c r="FU64" s="75" t="s">
        <v>347</v>
      </c>
      <c r="FV64" s="75" t="s">
        <v>311</v>
      </c>
      <c r="FW64" s="75" t="s">
        <v>347</v>
      </c>
      <c r="FX64" s="75" t="s">
        <v>347</v>
      </c>
      <c r="FY64" s="75"/>
      <c r="FZ64" s="75" t="s">
        <v>311</v>
      </c>
      <c r="GA64" s="75"/>
      <c r="GB64" s="75" t="s">
        <v>311</v>
      </c>
      <c r="GC64" s="75" t="s">
        <v>311</v>
      </c>
      <c r="GD64" s="75" t="s">
        <v>347</v>
      </c>
      <c r="GE64" s="75" t="s">
        <v>347</v>
      </c>
      <c r="GF64" s="75" t="s">
        <v>311</v>
      </c>
      <c r="GG64" s="75"/>
      <c r="GH64" s="81" t="s">
        <v>311</v>
      </c>
      <c r="GI64" s="80" t="s">
        <v>260</v>
      </c>
      <c r="GJ64" s="81" t="s">
        <v>311</v>
      </c>
      <c r="GK64" s="81" t="s">
        <v>311</v>
      </c>
      <c r="GL64" s="81" t="s">
        <v>311</v>
      </c>
      <c r="GM64" s="81"/>
      <c r="GO64" s="75" t="s">
        <v>311</v>
      </c>
      <c r="GP64" s="75" t="s">
        <v>311</v>
      </c>
      <c r="GS64" s="75" t="s">
        <v>347</v>
      </c>
      <c r="GT64" s="75" t="s">
        <v>311</v>
      </c>
      <c r="GU64" s="75" t="s">
        <v>347</v>
      </c>
      <c r="GV64" s="75" t="s">
        <v>347</v>
      </c>
      <c r="GW64" s="75" t="s">
        <v>347</v>
      </c>
      <c r="GX64" s="75" t="s">
        <v>311</v>
      </c>
      <c r="GY64" s="75" t="s">
        <v>347</v>
      </c>
      <c r="GZ64" s="75" t="s">
        <v>347</v>
      </c>
      <c r="HA64" s="75" t="s">
        <v>347</v>
      </c>
      <c r="HB64" s="75" t="s">
        <v>347</v>
      </c>
      <c r="HC64" s="75" t="s">
        <v>311</v>
      </c>
      <c r="HD64" s="75" t="s">
        <v>347</v>
      </c>
      <c r="HE64" s="75"/>
      <c r="HF64" s="75" t="s">
        <v>347</v>
      </c>
      <c r="HG64" s="75" t="s">
        <v>311</v>
      </c>
      <c r="HH64" s="75" t="s">
        <v>311</v>
      </c>
      <c r="HI64" s="75" t="s">
        <v>347</v>
      </c>
      <c r="HJ64" s="75" t="s">
        <v>347</v>
      </c>
      <c r="HK64" s="75" t="s">
        <v>311</v>
      </c>
      <c r="HL64" s="75" t="s">
        <v>347</v>
      </c>
      <c r="HM64" s="75"/>
      <c r="HN64" s="75" t="s">
        <v>347</v>
      </c>
      <c r="HO64" s="75" t="s">
        <v>347</v>
      </c>
      <c r="HP64" s="75" t="s">
        <v>311</v>
      </c>
      <c r="HQ64" s="75" t="s">
        <v>311</v>
      </c>
      <c r="HR64" s="75" t="s">
        <v>347</v>
      </c>
      <c r="HS64" s="75" t="s">
        <v>347</v>
      </c>
      <c r="HT64" s="75"/>
      <c r="HU64" s="75" t="s">
        <v>347</v>
      </c>
      <c r="HV64" s="75" t="s">
        <v>311</v>
      </c>
      <c r="HW64" s="75" t="s">
        <v>347</v>
      </c>
      <c r="HX64" s="75" t="s">
        <v>347</v>
      </c>
      <c r="HY64" s="75" t="s">
        <v>347</v>
      </c>
      <c r="HZ64" s="75" t="s">
        <v>347</v>
      </c>
      <c r="IA64" s="75"/>
      <c r="IB64" s="81" t="s">
        <v>311</v>
      </c>
      <c r="IC64" s="80" t="s">
        <v>260</v>
      </c>
      <c r="ID64" s="80" t="s">
        <v>260</v>
      </c>
      <c r="IE64" s="80" t="s">
        <v>260</v>
      </c>
      <c r="IF64" s="81" t="s">
        <v>311</v>
      </c>
      <c r="IG64" s="81" t="s">
        <v>311</v>
      </c>
      <c r="IH64" s="81"/>
      <c r="II64" s="75" t="s">
        <v>311</v>
      </c>
      <c r="IJ64" s="75" t="s">
        <v>311</v>
      </c>
      <c r="IK64" s="75" t="s">
        <v>311</v>
      </c>
      <c r="IL64" s="75" t="s">
        <v>311</v>
      </c>
      <c r="IM64" s="75" t="s">
        <v>311</v>
      </c>
      <c r="IN64" s="81"/>
      <c r="IP64" s="75" t="s">
        <v>347</v>
      </c>
      <c r="IS64" s="75" t="s">
        <v>347</v>
      </c>
      <c r="IT64" s="75" t="s">
        <v>311</v>
      </c>
      <c r="IW64" s="75" t="s">
        <v>347</v>
      </c>
      <c r="IX64" s="75" t="s">
        <v>347</v>
      </c>
      <c r="IY64" s="75" t="s">
        <v>311</v>
      </c>
      <c r="IZ64" s="75" t="s">
        <v>347</v>
      </c>
      <c r="JA64" s="75" t="s">
        <v>347</v>
      </c>
      <c r="JC64" s="81" t="s">
        <v>311</v>
      </c>
      <c r="JD64" s="81" t="s">
        <v>347</v>
      </c>
      <c r="JE64" s="81" t="s">
        <v>311</v>
      </c>
      <c r="JF64" s="80" t="s">
        <v>260</v>
      </c>
      <c r="JG64" s="80" t="s">
        <v>260</v>
      </c>
      <c r="JH64" s="80" t="s">
        <v>260</v>
      </c>
      <c r="JI64" s="80" t="s">
        <v>260</v>
      </c>
      <c r="JJ64" s="81" t="s">
        <v>311</v>
      </c>
      <c r="JK64" s="81" t="s">
        <v>311</v>
      </c>
      <c r="JL64" s="81"/>
      <c r="JM64" s="75" t="s">
        <v>347</v>
      </c>
      <c r="JN64" s="75" t="s">
        <v>311</v>
      </c>
      <c r="JO64" s="75" t="s">
        <v>347</v>
      </c>
      <c r="JP64" s="81"/>
      <c r="JQ64" s="75" t="s">
        <v>347</v>
      </c>
      <c r="JR64" s="75" t="s">
        <v>311</v>
      </c>
      <c r="JS64" s="75" t="s">
        <v>311</v>
      </c>
      <c r="JT64" s="75" t="s">
        <v>311</v>
      </c>
      <c r="JU64" s="75" t="s">
        <v>347</v>
      </c>
      <c r="JV64" s="75" t="s">
        <v>347</v>
      </c>
    </row>
    <row r="65" spans="1:282" x14ac:dyDescent="0.15">
      <c r="A65" s="214" t="s">
        <v>509</v>
      </c>
      <c r="B65" s="6" t="s">
        <v>20</v>
      </c>
      <c r="C65" s="6">
        <v>50000</v>
      </c>
      <c r="D65" s="6">
        <v>2</v>
      </c>
      <c r="E65" s="6">
        <v>5</v>
      </c>
      <c r="F65" s="6">
        <v>2</v>
      </c>
      <c r="G65" s="6" t="s">
        <v>36</v>
      </c>
      <c r="H65" s="6" t="s">
        <v>36</v>
      </c>
      <c r="I65" s="6" t="s">
        <v>38</v>
      </c>
      <c r="J65" s="21" t="s">
        <v>104</v>
      </c>
      <c r="K65" s="21">
        <v>2</v>
      </c>
      <c r="L65" s="21">
        <v>1</v>
      </c>
      <c r="M65" s="21">
        <v>2</v>
      </c>
      <c r="N65" s="21">
        <v>1</v>
      </c>
      <c r="O65" s="21">
        <v>0</v>
      </c>
      <c r="P65" s="21" t="str">
        <f>IF(TeamT[[#This Row],[General]]+TeamT[[#This Row],[Agility]]+TeamT[[#This Row],[Strength]]+TeamT[[#This Row],[Passing]]+TeamT[[#This Row],[Mutation]]&gt;0,IF(TeamT[[#This Row],[General]]=1,"G","")&amp;IF(TeamT[[#This Row],[Agility]]=1,"A","")&amp;IF(TeamT[[#This Row],[Strength]]=1,"S","")&amp;IF(TeamT[[#This Row],[Passing]]=1,"P","")&amp;IF(TeamT[[#This Row],[Mutation]]=1,"M",""),"Star")</f>
        <v>AP</v>
      </c>
      <c r="Q65" s="21" t="str">
        <f>IF(TeamT[[#This Row],[General]]=2,"G","")&amp;IF(TeamT[[#This Row],[Agility]]=2,"A","")&amp;IF(TeamT[[#This Row],[Strength]]=2,"S","")&amp;IF(TeamT[[#This Row],[Passing]]=2,"P","")&amp;IF(TeamT[[#This Row],[Mutation]]=2,"M","")</f>
        <v>GS</v>
      </c>
      <c r="R65" s="212"/>
      <c r="S65" s="21">
        <v>3</v>
      </c>
      <c r="T65" s="21">
        <v>3</v>
      </c>
      <c r="U65" s="21">
        <v>8</v>
      </c>
      <c r="AA65" s="76" t="e">
        <f>HLOOKUP(Roster!$E$5,Team!$BL$2:$MK$128,64,FALSE)</f>
        <v>#N/A</v>
      </c>
      <c r="AB65" s="76" t="e">
        <f>HLOOKUP(Roster!$E$6,Team!$BL$2:$MK$128,64,FALSE)</f>
        <v>#N/A</v>
      </c>
      <c r="AC65" s="76" t="e">
        <f>HLOOKUP(Roster!$E$7,Team!$BL$2:$MK$128,64,FALSE)</f>
        <v>#N/A</v>
      </c>
      <c r="AD65" s="76" t="e">
        <f>HLOOKUP(Roster!$E$8,Team!$BL$2:$MK$128,64,FALSE)</f>
        <v>#N/A</v>
      </c>
      <c r="AE65" s="76" t="e">
        <f>HLOOKUP(Roster!$E$9,Team!$BL$2:$MK$128,64,FALSE)</f>
        <v>#N/A</v>
      </c>
      <c r="AF65" s="76" t="e">
        <f>HLOOKUP(Roster!$E$10,Team!$BL$2:$MK$128,64,FALSE)</f>
        <v>#N/A</v>
      </c>
      <c r="AG65" s="76" t="e">
        <f>HLOOKUP(Roster!$E$11,Team!$BL$2:$MK$128,64,FALSE)</f>
        <v>#N/A</v>
      </c>
      <c r="AH65" s="76" t="e">
        <f>HLOOKUP(Roster!$E$12,Team!$BL$2:$MK$128,64,FALSE)</f>
        <v>#N/A</v>
      </c>
      <c r="AI65" s="76" t="e">
        <f>HLOOKUP(Roster!$E$13,Team!$BL$2:$MK$128,64,FALSE)</f>
        <v>#N/A</v>
      </c>
      <c r="AJ65" s="76" t="e">
        <f>HLOOKUP(Roster!$E$14,Team!$BL$2:$MK$128,64,FALSE)</f>
        <v>#N/A</v>
      </c>
      <c r="AK65" s="76" t="e">
        <f>HLOOKUP(Roster!$E$15,Team!$BL$2:$MK$128,64,FALSE)</f>
        <v>#N/A</v>
      </c>
      <c r="AL65" s="76" t="e">
        <f>HLOOKUP(Roster!$E$16,Team!$BL$2:$MK$128,64,FALSE)</f>
        <v>#N/A</v>
      </c>
      <c r="AM65" s="76" t="e">
        <f>HLOOKUP(Roster!$E$17,Team!$BL$2:$MK$128,64,FALSE)</f>
        <v>#N/A</v>
      </c>
      <c r="AN65" s="76" t="e">
        <f>HLOOKUP(Roster!$E$18,Team!$BL$2:$MK$128,64,FALSE)</f>
        <v>#N/A</v>
      </c>
      <c r="AO65" s="76" t="e">
        <f>HLOOKUP(Roster!$E$19,Team!$BL$2:$MK$128,64,FALSE)</f>
        <v>#N/A</v>
      </c>
      <c r="AP65" s="76" t="e">
        <f>HLOOKUP(Roster!$E$20,Team!$BL$2:$MK$128,64,FALSE)</f>
        <v>#N/A</v>
      </c>
      <c r="AR65" s="108">
        <f t="shared" si="1"/>
        <v>0</v>
      </c>
      <c r="AS65" s="108">
        <f t="shared" si="2"/>
        <v>0</v>
      </c>
      <c r="AT65" s="108">
        <f t="shared" si="3"/>
        <v>0</v>
      </c>
      <c r="AU65" s="108">
        <f t="shared" si="4"/>
        <v>0</v>
      </c>
      <c r="AV65" s="108">
        <f t="shared" si="5"/>
        <v>0</v>
      </c>
      <c r="AW65" s="108">
        <f t="shared" si="6"/>
        <v>0</v>
      </c>
      <c r="AX65" s="108">
        <f t="shared" si="7"/>
        <v>0</v>
      </c>
      <c r="AY65" s="108">
        <f t="shared" si="8"/>
        <v>0</v>
      </c>
      <c r="AZ65" s="108">
        <f t="shared" si="9"/>
        <v>0</v>
      </c>
      <c r="BA65" s="108">
        <f t="shared" si="10"/>
        <v>0</v>
      </c>
      <c r="BB65" s="108">
        <f t="shared" si="11"/>
        <v>0</v>
      </c>
      <c r="BC65" s="108">
        <f t="shared" si="12"/>
        <v>0</v>
      </c>
      <c r="BD65" s="108">
        <f t="shared" si="13"/>
        <v>0</v>
      </c>
      <c r="BE65" s="108">
        <f t="shared" si="14"/>
        <v>0</v>
      </c>
      <c r="BF65" s="108">
        <f t="shared" si="15"/>
        <v>0</v>
      </c>
      <c r="BG65" s="108">
        <f t="shared" si="16"/>
        <v>0</v>
      </c>
      <c r="BL65" s="75" t="s">
        <v>348</v>
      </c>
      <c r="BM65" s="74" t="s">
        <v>312</v>
      </c>
      <c r="BN65" s="75" t="s">
        <v>348</v>
      </c>
      <c r="BO65" s="75" t="s">
        <v>348</v>
      </c>
      <c r="BP65" s="75" t="s">
        <v>348</v>
      </c>
      <c r="BQ65" s="74"/>
      <c r="BR65" s="74" t="s">
        <v>312</v>
      </c>
      <c r="BS65" s="74" t="s">
        <v>312</v>
      </c>
      <c r="BT65" s="74" t="s">
        <v>312</v>
      </c>
      <c r="BU65" s="74" t="s">
        <v>312</v>
      </c>
      <c r="BV65" s="74"/>
      <c r="BW65" s="81" t="s">
        <v>229</v>
      </c>
      <c r="BX65" s="80" t="s">
        <v>312</v>
      </c>
      <c r="BY65" s="80" t="s">
        <v>312</v>
      </c>
      <c r="BZ65" s="80" t="s">
        <v>312</v>
      </c>
      <c r="CA65" s="80" t="s">
        <v>312</v>
      </c>
      <c r="CB65" s="81" t="s">
        <v>229</v>
      </c>
      <c r="CC65" s="77"/>
      <c r="CD65" s="75" t="s">
        <v>348</v>
      </c>
      <c r="CE65" s="80" t="s">
        <v>312</v>
      </c>
      <c r="CF65" s="75" t="s">
        <v>348</v>
      </c>
      <c r="CG65" s="80" t="s">
        <v>312</v>
      </c>
      <c r="CH65" s="75" t="s">
        <v>348</v>
      </c>
      <c r="CI65" s="77"/>
      <c r="CJ65" s="80" t="s">
        <v>312</v>
      </c>
      <c r="CK65" s="81" t="s">
        <v>229</v>
      </c>
      <c r="CL65" s="80" t="s">
        <v>324</v>
      </c>
      <c r="CM65" s="80" t="s">
        <v>312</v>
      </c>
      <c r="CN65" s="80" t="s">
        <v>312</v>
      </c>
      <c r="CO65" s="81" t="s">
        <v>229</v>
      </c>
      <c r="CP65" s="80" t="s">
        <v>312</v>
      </c>
      <c r="CQ65" s="80" t="s">
        <v>312</v>
      </c>
      <c r="CR65" s="80" t="s">
        <v>312</v>
      </c>
      <c r="CS65" s="80" t="s">
        <v>312</v>
      </c>
      <c r="CT65" s="80" t="s">
        <v>312</v>
      </c>
      <c r="CU65" s="80"/>
      <c r="CV65" s="74" t="s">
        <v>312</v>
      </c>
      <c r="CW65" s="74" t="s">
        <v>312</v>
      </c>
      <c r="CX65" s="74" t="s">
        <v>312</v>
      </c>
      <c r="CY65" s="74" t="s">
        <v>312</v>
      </c>
      <c r="CZ65" s="74" t="s">
        <v>312</v>
      </c>
      <c r="DA65" s="80"/>
      <c r="DB65" s="75" t="s">
        <v>348</v>
      </c>
      <c r="DC65" s="74" t="s">
        <v>312</v>
      </c>
      <c r="DD65" s="74" t="s">
        <v>312</v>
      </c>
      <c r="DE65" s="74" t="s">
        <v>312</v>
      </c>
      <c r="DF65" s="74" t="s">
        <v>312</v>
      </c>
      <c r="DG65" s="75" t="s">
        <v>348</v>
      </c>
      <c r="DH65" s="75"/>
      <c r="DI65" s="75" t="s">
        <v>348</v>
      </c>
      <c r="DJ65" s="74" t="s">
        <v>312</v>
      </c>
      <c r="DK65" s="74" t="s">
        <v>312</v>
      </c>
      <c r="DL65" s="75" t="s">
        <v>348</v>
      </c>
      <c r="DM65" s="75" t="s">
        <v>348</v>
      </c>
      <c r="DN65" s="75" t="s">
        <v>348</v>
      </c>
      <c r="DO65" s="75"/>
      <c r="DP65" s="75" t="s">
        <v>348</v>
      </c>
      <c r="DQ65" s="74" t="s">
        <v>312</v>
      </c>
      <c r="DR65" s="75" t="s">
        <v>348</v>
      </c>
      <c r="DS65" s="74" t="s">
        <v>312</v>
      </c>
      <c r="DT65" s="75" t="s">
        <v>348</v>
      </c>
      <c r="DU65" s="75"/>
      <c r="DV65" s="74" t="s">
        <v>312</v>
      </c>
      <c r="DW65" s="74" t="s">
        <v>312</v>
      </c>
      <c r="DX65" s="75" t="s">
        <v>348</v>
      </c>
      <c r="DY65" s="75" t="s">
        <v>348</v>
      </c>
      <c r="DZ65" s="74" t="s">
        <v>312</v>
      </c>
      <c r="EA65" s="74" t="s">
        <v>312</v>
      </c>
      <c r="EB65" s="75" t="s">
        <v>348</v>
      </c>
      <c r="EC65" s="74" t="s">
        <v>312</v>
      </c>
      <c r="ED65" s="74" t="s">
        <v>312</v>
      </c>
      <c r="EE65" s="74"/>
      <c r="EF65" s="75" t="s">
        <v>348</v>
      </c>
      <c r="EG65" s="74" t="s">
        <v>312</v>
      </c>
      <c r="EH65" s="75" t="s">
        <v>348</v>
      </c>
      <c r="EI65" s="74" t="s">
        <v>312</v>
      </c>
      <c r="EJ65" s="75" t="s">
        <v>348</v>
      </c>
      <c r="EK65" s="75"/>
      <c r="EL65" s="74" t="s">
        <v>312</v>
      </c>
      <c r="EM65" s="74" t="s">
        <v>312</v>
      </c>
      <c r="EN65" s="75" t="s">
        <v>348</v>
      </c>
      <c r="EO65" s="74" t="s">
        <v>312</v>
      </c>
      <c r="EP65" s="74" t="s">
        <v>312</v>
      </c>
      <c r="EQ65" s="75"/>
      <c r="ER65" s="75" t="s">
        <v>348</v>
      </c>
      <c r="ES65" s="74" t="s">
        <v>312</v>
      </c>
      <c r="ET65" s="74" t="s">
        <v>312</v>
      </c>
      <c r="EU65" s="74" t="s">
        <v>312</v>
      </c>
      <c r="EV65" s="75" t="s">
        <v>348</v>
      </c>
      <c r="EW65" s="75" t="s">
        <v>348</v>
      </c>
      <c r="EX65" s="75" t="s">
        <v>348</v>
      </c>
      <c r="EY65" s="75"/>
      <c r="EZ65" s="75" t="s">
        <v>348</v>
      </c>
      <c r="FA65" s="74" t="s">
        <v>312</v>
      </c>
      <c r="FB65" s="74" t="s">
        <v>312</v>
      </c>
      <c r="FC65" s="75" t="s">
        <v>348</v>
      </c>
      <c r="FD65" s="75" t="s">
        <v>348</v>
      </c>
      <c r="FE65" s="75" t="s">
        <v>348</v>
      </c>
      <c r="FF65" s="75"/>
      <c r="FG65" s="80" t="s">
        <v>312</v>
      </c>
      <c r="FH65" s="81" t="s">
        <v>229</v>
      </c>
      <c r="FI65" s="80" t="s">
        <v>312</v>
      </c>
      <c r="FJ65" s="80" t="s">
        <v>312</v>
      </c>
      <c r="FK65" s="80" t="s">
        <v>312</v>
      </c>
      <c r="FL65" s="75"/>
      <c r="FM65" s="74" t="s">
        <v>312</v>
      </c>
      <c r="FN65" s="74" t="s">
        <v>312</v>
      </c>
      <c r="FO65" s="75" t="s">
        <v>348</v>
      </c>
      <c r="FP65" s="75" t="s">
        <v>348</v>
      </c>
      <c r="FQ65" s="74" t="s">
        <v>312</v>
      </c>
      <c r="FR65" s="74"/>
      <c r="FS65" s="75" t="s">
        <v>348</v>
      </c>
      <c r="FT65" s="74" t="s">
        <v>312</v>
      </c>
      <c r="FU65" s="75" t="s">
        <v>348</v>
      </c>
      <c r="FV65" s="74" t="s">
        <v>312</v>
      </c>
      <c r="FW65" s="75" t="s">
        <v>348</v>
      </c>
      <c r="FX65" s="75" t="s">
        <v>348</v>
      </c>
      <c r="FY65" s="75"/>
      <c r="FZ65" s="74" t="s">
        <v>312</v>
      </c>
      <c r="GA65" s="74"/>
      <c r="GB65" s="74" t="s">
        <v>312</v>
      </c>
      <c r="GC65" s="74" t="s">
        <v>312</v>
      </c>
      <c r="GD65" s="75" t="s">
        <v>348</v>
      </c>
      <c r="GE65" s="75" t="s">
        <v>348</v>
      </c>
      <c r="GF65" s="74" t="s">
        <v>312</v>
      </c>
      <c r="GG65" s="75"/>
      <c r="GH65" s="80" t="s">
        <v>312</v>
      </c>
      <c r="GI65" s="81" t="s">
        <v>229</v>
      </c>
      <c r="GJ65" s="80" t="s">
        <v>312</v>
      </c>
      <c r="GK65" s="80" t="s">
        <v>312</v>
      </c>
      <c r="GL65" s="80" t="s">
        <v>312</v>
      </c>
      <c r="GM65" s="80"/>
      <c r="GO65" s="74" t="s">
        <v>312</v>
      </c>
      <c r="GP65" s="74" t="s">
        <v>312</v>
      </c>
      <c r="GS65" s="75" t="s">
        <v>348</v>
      </c>
      <c r="GT65" s="74" t="s">
        <v>312</v>
      </c>
      <c r="GU65" s="75" t="s">
        <v>348</v>
      </c>
      <c r="GV65" s="75" t="s">
        <v>348</v>
      </c>
      <c r="GW65" s="75" t="s">
        <v>348</v>
      </c>
      <c r="GX65" s="74" t="s">
        <v>312</v>
      </c>
      <c r="GY65" s="75" t="s">
        <v>348</v>
      </c>
      <c r="GZ65" s="75" t="s">
        <v>348</v>
      </c>
      <c r="HA65" s="75" t="s">
        <v>348</v>
      </c>
      <c r="HB65" s="75" t="s">
        <v>348</v>
      </c>
      <c r="HC65" s="74" t="s">
        <v>312</v>
      </c>
      <c r="HD65" s="75" t="s">
        <v>348</v>
      </c>
      <c r="HE65" s="75"/>
      <c r="HF65" s="75" t="s">
        <v>348</v>
      </c>
      <c r="HG65" s="74" t="s">
        <v>312</v>
      </c>
      <c r="HH65" s="74" t="s">
        <v>312</v>
      </c>
      <c r="HI65" s="75" t="s">
        <v>348</v>
      </c>
      <c r="HJ65" s="75" t="s">
        <v>348</v>
      </c>
      <c r="HK65" s="74" t="s">
        <v>312</v>
      </c>
      <c r="HL65" s="75" t="s">
        <v>348</v>
      </c>
      <c r="HM65" s="75"/>
      <c r="HN65" s="75" t="s">
        <v>348</v>
      </c>
      <c r="HO65" s="75" t="s">
        <v>348</v>
      </c>
      <c r="HP65" s="74" t="s">
        <v>312</v>
      </c>
      <c r="HQ65" s="74" t="s">
        <v>312</v>
      </c>
      <c r="HR65" s="75" t="s">
        <v>348</v>
      </c>
      <c r="HS65" s="75" t="s">
        <v>348</v>
      </c>
      <c r="HT65" s="75"/>
      <c r="HU65" s="75" t="s">
        <v>348</v>
      </c>
      <c r="HV65" s="74" t="s">
        <v>312</v>
      </c>
      <c r="HW65" s="75" t="s">
        <v>348</v>
      </c>
      <c r="HX65" s="75" t="s">
        <v>348</v>
      </c>
      <c r="HY65" s="75" t="s">
        <v>348</v>
      </c>
      <c r="HZ65" s="75" t="s">
        <v>348</v>
      </c>
      <c r="IA65" s="75"/>
      <c r="IB65" s="80" t="s">
        <v>312</v>
      </c>
      <c r="IC65" s="81" t="s">
        <v>229</v>
      </c>
      <c r="ID65" s="81" t="s">
        <v>229</v>
      </c>
      <c r="IE65" s="81" t="s">
        <v>229</v>
      </c>
      <c r="IF65" s="80" t="s">
        <v>312</v>
      </c>
      <c r="IG65" s="80" t="s">
        <v>312</v>
      </c>
      <c r="IH65" s="80"/>
      <c r="II65" s="74" t="s">
        <v>312</v>
      </c>
      <c r="IJ65" s="74" t="s">
        <v>312</v>
      </c>
      <c r="IK65" s="74" t="s">
        <v>312</v>
      </c>
      <c r="IL65" s="74" t="s">
        <v>312</v>
      </c>
      <c r="IM65" s="74" t="s">
        <v>312</v>
      </c>
      <c r="IN65" s="80"/>
      <c r="IP65" s="75" t="s">
        <v>348</v>
      </c>
      <c r="IS65" s="75" t="s">
        <v>348</v>
      </c>
      <c r="IT65" s="74" t="s">
        <v>312</v>
      </c>
      <c r="IW65" s="75" t="s">
        <v>348</v>
      </c>
      <c r="IX65" s="75" t="s">
        <v>348</v>
      </c>
      <c r="IY65" s="74" t="s">
        <v>312</v>
      </c>
      <c r="IZ65" s="75" t="s">
        <v>348</v>
      </c>
      <c r="JA65" s="75" t="s">
        <v>348</v>
      </c>
      <c r="JC65" s="80" t="s">
        <v>312</v>
      </c>
      <c r="JD65" s="81" t="s">
        <v>348</v>
      </c>
      <c r="JE65" s="80" t="s">
        <v>312</v>
      </c>
      <c r="JF65" s="81" t="s">
        <v>229</v>
      </c>
      <c r="JG65" s="81" t="s">
        <v>229</v>
      </c>
      <c r="JH65" s="81" t="s">
        <v>229</v>
      </c>
      <c r="JI65" s="81" t="s">
        <v>229</v>
      </c>
      <c r="JJ65" s="80" t="s">
        <v>312</v>
      </c>
      <c r="JK65" s="80" t="s">
        <v>312</v>
      </c>
      <c r="JL65" s="80"/>
      <c r="JM65" s="75" t="s">
        <v>348</v>
      </c>
      <c r="JN65" s="74" t="s">
        <v>312</v>
      </c>
      <c r="JO65" s="75" t="s">
        <v>348</v>
      </c>
      <c r="JP65" s="80"/>
      <c r="JQ65" s="75" t="s">
        <v>348</v>
      </c>
      <c r="JR65" s="74" t="s">
        <v>312</v>
      </c>
      <c r="JS65" s="74" t="s">
        <v>312</v>
      </c>
      <c r="JT65" s="74" t="s">
        <v>312</v>
      </c>
      <c r="JU65" s="75" t="s">
        <v>348</v>
      </c>
      <c r="JV65" s="75" t="s">
        <v>348</v>
      </c>
    </row>
    <row r="66" spans="1:282" x14ac:dyDescent="0.15">
      <c r="A66" s="214" t="s">
        <v>18</v>
      </c>
      <c r="B66" s="6" t="s">
        <v>20</v>
      </c>
      <c r="C66" s="6">
        <v>55000</v>
      </c>
      <c r="D66" s="6">
        <v>2</v>
      </c>
      <c r="E66" s="6">
        <v>5</v>
      </c>
      <c r="F66" s="6">
        <v>2</v>
      </c>
      <c r="G66" s="6" t="s">
        <v>36</v>
      </c>
      <c r="H66" s="6" t="s">
        <v>40</v>
      </c>
      <c r="I66" s="6" t="s">
        <v>103</v>
      </c>
      <c r="J66" s="21" t="s">
        <v>105</v>
      </c>
      <c r="K66" s="21">
        <v>2</v>
      </c>
      <c r="L66" s="21">
        <v>1</v>
      </c>
      <c r="M66" s="21">
        <v>2</v>
      </c>
      <c r="N66" s="21">
        <v>0</v>
      </c>
      <c r="O66" s="21">
        <v>0</v>
      </c>
      <c r="P66" s="21" t="str">
        <f>IF(TeamT[[#This Row],[General]]+TeamT[[#This Row],[Agility]]+TeamT[[#This Row],[Strength]]+TeamT[[#This Row],[Passing]]+TeamT[[#This Row],[Mutation]]&gt;0,IF(TeamT[[#This Row],[General]]=1,"G","")&amp;IF(TeamT[[#This Row],[Agility]]=1,"A","")&amp;IF(TeamT[[#This Row],[Strength]]=1,"S","")&amp;IF(TeamT[[#This Row],[Passing]]=1,"P","")&amp;IF(TeamT[[#This Row],[Mutation]]=1,"M",""),"Star")</f>
        <v>A</v>
      </c>
      <c r="Q66" s="21" t="str">
        <f>IF(TeamT[[#This Row],[General]]=2,"G","")&amp;IF(TeamT[[#This Row],[Agility]]=2,"A","")&amp;IF(TeamT[[#This Row],[Strength]]=2,"S","")&amp;IF(TeamT[[#This Row],[Passing]]=2,"P","")&amp;IF(TeamT[[#This Row],[Mutation]]=2,"M","")</f>
        <v>GS</v>
      </c>
      <c r="R66" s="212"/>
      <c r="S66" s="21">
        <v>3</v>
      </c>
      <c r="T66" s="21">
        <v>5</v>
      </c>
      <c r="U66" s="21">
        <v>7</v>
      </c>
      <c r="AA66" s="76" t="e">
        <f>HLOOKUP(Roster!$E$5,Team!$BL$2:$CDN$128,65,FALSE)</f>
        <v>#N/A</v>
      </c>
      <c r="AB66" s="76" t="e">
        <f>HLOOKUP(Roster!$E$6,Team!$BL$2:$MK$128,65,FALSE)</f>
        <v>#N/A</v>
      </c>
      <c r="AC66" s="76" t="e">
        <f>HLOOKUP(Roster!$E$7,Team!$BL$2:$MK$128,65,FALSE)</f>
        <v>#N/A</v>
      </c>
      <c r="AD66" s="76" t="e">
        <f>HLOOKUP(Roster!$E$8,Team!$BL$2:$MK$128,65,FALSE)</f>
        <v>#N/A</v>
      </c>
      <c r="AE66" s="76" t="e">
        <f>HLOOKUP(Roster!$E$9,Team!$BL$2:$MK$128,65,FALSE)</f>
        <v>#N/A</v>
      </c>
      <c r="AF66" s="76" t="e">
        <f>HLOOKUP(Roster!$E$10,Team!$BL$2:$MK$128,65,FALSE)</f>
        <v>#N/A</v>
      </c>
      <c r="AG66" s="76" t="e">
        <f>HLOOKUP(Roster!$E$11,Team!$BL$2:$MK$128,65,FALSE)</f>
        <v>#N/A</v>
      </c>
      <c r="AH66" s="76" t="e">
        <f>HLOOKUP(Roster!$E$12,Team!$BL$2:$MK$128,65,FALSE)</f>
        <v>#N/A</v>
      </c>
      <c r="AI66" s="76" t="e">
        <f>HLOOKUP(Roster!$E$13,Team!$BL$2:$MK$128,65,FALSE)</f>
        <v>#N/A</v>
      </c>
      <c r="AJ66" s="76" t="e">
        <f>HLOOKUP(Roster!$E$14,Team!$BL$2:$MK$128,65,FALSE)</f>
        <v>#N/A</v>
      </c>
      <c r="AK66" s="76" t="e">
        <f>HLOOKUP(Roster!$E$15,Team!$BL$2:$MK$128,65,FALSE)</f>
        <v>#N/A</v>
      </c>
      <c r="AL66" s="76" t="e">
        <f>HLOOKUP(Roster!$E$16,Team!$BL$2:$MK$128,65,FALSE)</f>
        <v>#N/A</v>
      </c>
      <c r="AM66" s="76" t="e">
        <f>HLOOKUP(Roster!$E$17,Team!$BL$2:$MK$128,65,FALSE)</f>
        <v>#N/A</v>
      </c>
      <c r="AN66" s="76" t="e">
        <f>HLOOKUP(Roster!$E$18,Team!$BL$2:$MK$128,65,FALSE)</f>
        <v>#N/A</v>
      </c>
      <c r="AO66" s="76" t="e">
        <f>HLOOKUP(Roster!$E$19,Team!$BL$2:$MK$128,65,FALSE)</f>
        <v>#N/A</v>
      </c>
      <c r="AP66" s="76" t="e">
        <f>HLOOKUP(Roster!$E$20,Team!$BL$2:$MK$128,65,FALSE)</f>
        <v>#N/A</v>
      </c>
      <c r="AR66" s="108">
        <f t="shared" si="1"/>
        <v>0</v>
      </c>
      <c r="AS66" s="108">
        <f t="shared" si="2"/>
        <v>0</v>
      </c>
      <c r="AT66" s="108">
        <f t="shared" si="3"/>
        <v>0</v>
      </c>
      <c r="AU66" s="108">
        <f t="shared" si="4"/>
        <v>0</v>
      </c>
      <c r="AV66" s="108">
        <f t="shared" si="5"/>
        <v>0</v>
      </c>
      <c r="AW66" s="108">
        <f t="shared" si="6"/>
        <v>0</v>
      </c>
      <c r="AX66" s="108">
        <f t="shared" si="7"/>
        <v>0</v>
      </c>
      <c r="AY66" s="108">
        <f t="shared" si="8"/>
        <v>0</v>
      </c>
      <c r="AZ66" s="108">
        <f t="shared" si="9"/>
        <v>0</v>
      </c>
      <c r="BA66" s="108">
        <f t="shared" si="10"/>
        <v>0</v>
      </c>
      <c r="BB66" s="108">
        <f t="shared" si="11"/>
        <v>0</v>
      </c>
      <c r="BC66" s="108">
        <f t="shared" si="12"/>
        <v>0</v>
      </c>
      <c r="BD66" s="108">
        <f t="shared" si="13"/>
        <v>0</v>
      </c>
      <c r="BE66" s="108">
        <f t="shared" si="14"/>
        <v>0</v>
      </c>
      <c r="BF66" s="108">
        <f t="shared" si="15"/>
        <v>0</v>
      </c>
      <c r="BG66" s="108">
        <f t="shared" si="16"/>
        <v>0</v>
      </c>
      <c r="BL66" s="75" t="s">
        <v>349</v>
      </c>
      <c r="BM66" s="75" t="s">
        <v>313</v>
      </c>
      <c r="BN66" s="75" t="s">
        <v>349</v>
      </c>
      <c r="BO66" s="75" t="s">
        <v>349</v>
      </c>
      <c r="BP66" s="75" t="s">
        <v>349</v>
      </c>
      <c r="BQ66" s="75"/>
      <c r="BR66" s="75" t="s">
        <v>313</v>
      </c>
      <c r="BS66" s="75" t="s">
        <v>313</v>
      </c>
      <c r="BT66" s="75" t="s">
        <v>313</v>
      </c>
      <c r="BU66" s="75" t="s">
        <v>313</v>
      </c>
      <c r="BV66" s="75"/>
      <c r="BW66" s="80" t="s">
        <v>261</v>
      </c>
      <c r="BX66" s="81" t="s">
        <v>313</v>
      </c>
      <c r="BY66" s="81" t="s">
        <v>313</v>
      </c>
      <c r="BZ66" s="81" t="s">
        <v>313</v>
      </c>
      <c r="CA66" s="81" t="s">
        <v>313</v>
      </c>
      <c r="CB66" s="80" t="s">
        <v>261</v>
      </c>
      <c r="CC66" s="77"/>
      <c r="CD66" s="75" t="s">
        <v>349</v>
      </c>
      <c r="CE66" s="81" t="s">
        <v>313</v>
      </c>
      <c r="CF66" s="75" t="s">
        <v>349</v>
      </c>
      <c r="CG66" s="81" t="s">
        <v>313</v>
      </c>
      <c r="CH66" s="75" t="s">
        <v>349</v>
      </c>
      <c r="CI66" s="77"/>
      <c r="CJ66" s="81" t="s">
        <v>313</v>
      </c>
      <c r="CK66" s="80" t="s">
        <v>261</v>
      </c>
      <c r="CL66" s="81" t="s">
        <v>325</v>
      </c>
      <c r="CM66" s="81" t="s">
        <v>313</v>
      </c>
      <c r="CN66" s="81" t="s">
        <v>313</v>
      </c>
      <c r="CO66" s="80" t="s">
        <v>261</v>
      </c>
      <c r="CP66" s="81" t="s">
        <v>313</v>
      </c>
      <c r="CQ66" s="81" t="s">
        <v>313</v>
      </c>
      <c r="CR66" s="81" t="s">
        <v>313</v>
      </c>
      <c r="CS66" s="81" t="s">
        <v>313</v>
      </c>
      <c r="CT66" s="81" t="s">
        <v>313</v>
      </c>
      <c r="CU66" s="81"/>
      <c r="CV66" s="75" t="s">
        <v>313</v>
      </c>
      <c r="CW66" s="75" t="s">
        <v>313</v>
      </c>
      <c r="CX66" s="75" t="s">
        <v>313</v>
      </c>
      <c r="CY66" s="75" t="s">
        <v>313</v>
      </c>
      <c r="CZ66" s="75" t="s">
        <v>313</v>
      </c>
      <c r="DA66" s="81"/>
      <c r="DB66" s="75" t="s">
        <v>349</v>
      </c>
      <c r="DC66" s="75" t="s">
        <v>313</v>
      </c>
      <c r="DD66" s="75" t="s">
        <v>313</v>
      </c>
      <c r="DE66" s="75" t="s">
        <v>313</v>
      </c>
      <c r="DF66" s="75" t="s">
        <v>313</v>
      </c>
      <c r="DG66" s="75" t="s">
        <v>349</v>
      </c>
      <c r="DH66" s="75"/>
      <c r="DI66" s="75" t="s">
        <v>349</v>
      </c>
      <c r="DJ66" s="75" t="s">
        <v>313</v>
      </c>
      <c r="DK66" s="75" t="s">
        <v>313</v>
      </c>
      <c r="DL66" s="75" t="s">
        <v>349</v>
      </c>
      <c r="DM66" s="75" t="s">
        <v>349</v>
      </c>
      <c r="DN66" s="75" t="s">
        <v>349</v>
      </c>
      <c r="DO66" s="75"/>
      <c r="DP66" s="75" t="s">
        <v>349</v>
      </c>
      <c r="DQ66" s="75" t="s">
        <v>313</v>
      </c>
      <c r="DR66" s="75" t="s">
        <v>349</v>
      </c>
      <c r="DS66" s="75" t="s">
        <v>313</v>
      </c>
      <c r="DT66" s="75" t="s">
        <v>349</v>
      </c>
      <c r="DU66" s="75"/>
      <c r="DV66" s="75" t="s">
        <v>313</v>
      </c>
      <c r="DW66" s="75" t="s">
        <v>313</v>
      </c>
      <c r="DX66" s="75" t="s">
        <v>349</v>
      </c>
      <c r="DY66" s="75" t="s">
        <v>349</v>
      </c>
      <c r="DZ66" s="75" t="s">
        <v>313</v>
      </c>
      <c r="EA66" s="75" t="s">
        <v>313</v>
      </c>
      <c r="EB66" s="75" t="s">
        <v>349</v>
      </c>
      <c r="EC66" s="75" t="s">
        <v>313</v>
      </c>
      <c r="ED66" s="75" t="s">
        <v>313</v>
      </c>
      <c r="EE66" s="75"/>
      <c r="EF66" s="75" t="s">
        <v>349</v>
      </c>
      <c r="EG66" s="75" t="s">
        <v>313</v>
      </c>
      <c r="EH66" s="75" t="s">
        <v>349</v>
      </c>
      <c r="EI66" s="75" t="s">
        <v>313</v>
      </c>
      <c r="EJ66" s="75" t="s">
        <v>349</v>
      </c>
      <c r="EK66" s="75"/>
      <c r="EL66" s="75" t="s">
        <v>313</v>
      </c>
      <c r="EM66" s="75" t="s">
        <v>313</v>
      </c>
      <c r="EN66" s="75" t="s">
        <v>349</v>
      </c>
      <c r="EO66" s="75" t="s">
        <v>313</v>
      </c>
      <c r="EP66" s="75" t="s">
        <v>313</v>
      </c>
      <c r="EQ66" s="75"/>
      <c r="ER66" s="75" t="s">
        <v>349</v>
      </c>
      <c r="ES66" s="75" t="s">
        <v>313</v>
      </c>
      <c r="ET66" s="75" t="s">
        <v>313</v>
      </c>
      <c r="EU66" s="75" t="s">
        <v>313</v>
      </c>
      <c r="EV66" s="75" t="s">
        <v>349</v>
      </c>
      <c r="EW66" s="75" t="s">
        <v>349</v>
      </c>
      <c r="EX66" s="75" t="s">
        <v>349</v>
      </c>
      <c r="EY66" s="75"/>
      <c r="EZ66" s="75" t="s">
        <v>349</v>
      </c>
      <c r="FA66" s="75" t="s">
        <v>313</v>
      </c>
      <c r="FB66" s="75" t="s">
        <v>313</v>
      </c>
      <c r="FC66" s="75" t="s">
        <v>349</v>
      </c>
      <c r="FD66" s="75" t="s">
        <v>349</v>
      </c>
      <c r="FE66" s="75" t="s">
        <v>349</v>
      </c>
      <c r="FF66" s="75"/>
      <c r="FG66" s="81" t="s">
        <v>313</v>
      </c>
      <c r="FH66" s="80" t="s">
        <v>261</v>
      </c>
      <c r="FI66" s="81" t="s">
        <v>313</v>
      </c>
      <c r="FJ66" s="81" t="s">
        <v>313</v>
      </c>
      <c r="FK66" s="81" t="s">
        <v>313</v>
      </c>
      <c r="FL66" s="75"/>
      <c r="FM66" s="75" t="s">
        <v>313</v>
      </c>
      <c r="FN66" s="75" t="s">
        <v>313</v>
      </c>
      <c r="FO66" s="75" t="s">
        <v>349</v>
      </c>
      <c r="FP66" s="75" t="s">
        <v>349</v>
      </c>
      <c r="FQ66" s="75" t="s">
        <v>313</v>
      </c>
      <c r="FR66" s="75"/>
      <c r="FS66" s="75" t="s">
        <v>349</v>
      </c>
      <c r="FT66" s="75" t="s">
        <v>313</v>
      </c>
      <c r="FU66" s="75" t="s">
        <v>349</v>
      </c>
      <c r="FV66" s="75" t="s">
        <v>313</v>
      </c>
      <c r="FW66" s="75" t="s">
        <v>349</v>
      </c>
      <c r="FX66" s="75" t="s">
        <v>349</v>
      </c>
      <c r="FY66" s="75"/>
      <c r="FZ66" s="75" t="s">
        <v>313</v>
      </c>
      <c r="GA66" s="75"/>
      <c r="GB66" s="75" t="s">
        <v>313</v>
      </c>
      <c r="GC66" s="75" t="s">
        <v>313</v>
      </c>
      <c r="GD66" s="75" t="s">
        <v>349</v>
      </c>
      <c r="GE66" s="75" t="s">
        <v>349</v>
      </c>
      <c r="GF66" s="75" t="s">
        <v>313</v>
      </c>
      <c r="GG66" s="75"/>
      <c r="GH66" s="81" t="s">
        <v>313</v>
      </c>
      <c r="GI66" s="80" t="s">
        <v>261</v>
      </c>
      <c r="GJ66" s="81" t="s">
        <v>313</v>
      </c>
      <c r="GK66" s="81" t="s">
        <v>313</v>
      </c>
      <c r="GL66" s="81" t="s">
        <v>313</v>
      </c>
      <c r="GM66" s="81"/>
      <c r="GO66" s="75" t="s">
        <v>313</v>
      </c>
      <c r="GP66" s="75" t="s">
        <v>313</v>
      </c>
      <c r="GS66" s="75" t="s">
        <v>349</v>
      </c>
      <c r="GT66" s="75" t="s">
        <v>313</v>
      </c>
      <c r="GU66" s="75" t="s">
        <v>349</v>
      </c>
      <c r="GV66" s="75" t="s">
        <v>349</v>
      </c>
      <c r="GW66" s="75" t="s">
        <v>349</v>
      </c>
      <c r="GX66" s="75" t="s">
        <v>313</v>
      </c>
      <c r="GY66" s="75" t="s">
        <v>349</v>
      </c>
      <c r="GZ66" s="75" t="s">
        <v>349</v>
      </c>
      <c r="HA66" s="75" t="s">
        <v>349</v>
      </c>
      <c r="HB66" s="75" t="s">
        <v>349</v>
      </c>
      <c r="HC66" s="75" t="s">
        <v>313</v>
      </c>
      <c r="HD66" s="75" t="s">
        <v>349</v>
      </c>
      <c r="HE66" s="75"/>
      <c r="HF66" s="75" t="s">
        <v>349</v>
      </c>
      <c r="HG66" s="75" t="s">
        <v>313</v>
      </c>
      <c r="HH66" s="75" t="s">
        <v>313</v>
      </c>
      <c r="HI66" s="75" t="s">
        <v>349</v>
      </c>
      <c r="HJ66" s="75" t="s">
        <v>349</v>
      </c>
      <c r="HK66" s="75" t="s">
        <v>313</v>
      </c>
      <c r="HL66" s="75" t="s">
        <v>349</v>
      </c>
      <c r="HM66" s="75"/>
      <c r="HN66" s="75" t="s">
        <v>349</v>
      </c>
      <c r="HO66" s="75" t="s">
        <v>349</v>
      </c>
      <c r="HP66" s="75" t="s">
        <v>313</v>
      </c>
      <c r="HQ66" s="75" t="s">
        <v>313</v>
      </c>
      <c r="HR66" s="75" t="s">
        <v>349</v>
      </c>
      <c r="HS66" s="75" t="s">
        <v>349</v>
      </c>
      <c r="HT66" s="75"/>
      <c r="HU66" s="75" t="s">
        <v>349</v>
      </c>
      <c r="HV66" s="75" t="s">
        <v>313</v>
      </c>
      <c r="HW66" s="75" t="s">
        <v>349</v>
      </c>
      <c r="HX66" s="75" t="s">
        <v>349</v>
      </c>
      <c r="HY66" s="75" t="s">
        <v>349</v>
      </c>
      <c r="HZ66" s="75" t="s">
        <v>349</v>
      </c>
      <c r="IA66" s="75"/>
      <c r="IB66" s="81" t="s">
        <v>313</v>
      </c>
      <c r="IC66" s="80" t="s">
        <v>261</v>
      </c>
      <c r="ID66" s="80" t="s">
        <v>261</v>
      </c>
      <c r="IE66" s="80" t="s">
        <v>261</v>
      </c>
      <c r="IF66" s="81" t="s">
        <v>313</v>
      </c>
      <c r="IG66" s="81" t="s">
        <v>313</v>
      </c>
      <c r="IH66" s="81"/>
      <c r="II66" s="75" t="s">
        <v>313</v>
      </c>
      <c r="IJ66" s="75" t="s">
        <v>313</v>
      </c>
      <c r="IK66" s="75" t="s">
        <v>313</v>
      </c>
      <c r="IL66" s="75" t="s">
        <v>313</v>
      </c>
      <c r="IM66" s="75" t="s">
        <v>313</v>
      </c>
      <c r="IN66" s="81"/>
      <c r="IP66" s="75" t="s">
        <v>349</v>
      </c>
      <c r="IS66" s="75" t="s">
        <v>349</v>
      </c>
      <c r="IT66" s="75" t="s">
        <v>313</v>
      </c>
      <c r="IW66" s="75" t="s">
        <v>349</v>
      </c>
      <c r="IX66" s="75" t="s">
        <v>349</v>
      </c>
      <c r="IY66" s="75" t="s">
        <v>313</v>
      </c>
      <c r="IZ66" s="75" t="s">
        <v>349</v>
      </c>
      <c r="JA66" s="75" t="s">
        <v>349</v>
      </c>
      <c r="JC66" s="81" t="s">
        <v>313</v>
      </c>
      <c r="JD66" s="81" t="s">
        <v>349</v>
      </c>
      <c r="JE66" s="81" t="s">
        <v>313</v>
      </c>
      <c r="JF66" s="80" t="s">
        <v>261</v>
      </c>
      <c r="JG66" s="80" t="s">
        <v>261</v>
      </c>
      <c r="JH66" s="80" t="s">
        <v>261</v>
      </c>
      <c r="JI66" s="80" t="s">
        <v>261</v>
      </c>
      <c r="JJ66" s="81" t="s">
        <v>313</v>
      </c>
      <c r="JK66" s="81" t="s">
        <v>313</v>
      </c>
      <c r="JL66" s="81"/>
      <c r="JM66" s="75" t="s">
        <v>349</v>
      </c>
      <c r="JN66" s="75" t="s">
        <v>313</v>
      </c>
      <c r="JO66" s="75" t="s">
        <v>349</v>
      </c>
      <c r="JP66" s="81"/>
      <c r="JQ66" s="75" t="s">
        <v>349</v>
      </c>
      <c r="JR66" s="75" t="s">
        <v>313</v>
      </c>
      <c r="JS66" s="75" t="s">
        <v>313</v>
      </c>
      <c r="JT66" s="75" t="s">
        <v>313</v>
      </c>
      <c r="JU66" s="75" t="s">
        <v>349</v>
      </c>
      <c r="JV66" s="75" t="s">
        <v>349</v>
      </c>
    </row>
    <row r="67" spans="1:282" x14ac:dyDescent="0.15">
      <c r="A67" s="214" t="s">
        <v>514</v>
      </c>
      <c r="B67" s="6" t="s">
        <v>20</v>
      </c>
      <c r="C67" s="6">
        <v>120000</v>
      </c>
      <c r="D67" s="6">
        <v>2</v>
      </c>
      <c r="E67" s="6">
        <v>2</v>
      </c>
      <c r="F67" s="6">
        <v>6</v>
      </c>
      <c r="G67" s="6" t="s">
        <v>40</v>
      </c>
      <c r="H67" s="6" t="s">
        <v>40</v>
      </c>
      <c r="I67" s="6" t="s">
        <v>82</v>
      </c>
      <c r="J67" s="21" t="s">
        <v>107</v>
      </c>
      <c r="K67" s="21">
        <v>2</v>
      </c>
      <c r="L67" s="21">
        <v>2</v>
      </c>
      <c r="M67" s="21">
        <v>1</v>
      </c>
      <c r="N67" s="21">
        <v>2</v>
      </c>
      <c r="O67" s="21">
        <v>0</v>
      </c>
      <c r="P67" s="21" t="str">
        <f>IF(TeamT[[#This Row],[General]]+TeamT[[#This Row],[Agility]]+TeamT[[#This Row],[Strength]]+TeamT[[#This Row],[Passing]]+TeamT[[#This Row],[Mutation]]&gt;0,IF(TeamT[[#This Row],[General]]=1,"G","")&amp;IF(TeamT[[#This Row],[Agility]]=1,"A","")&amp;IF(TeamT[[#This Row],[Strength]]=1,"S","")&amp;IF(TeamT[[#This Row],[Passing]]=1,"P","")&amp;IF(TeamT[[#This Row],[Mutation]]=1,"M",""),"Star")</f>
        <v>S</v>
      </c>
      <c r="Q67" s="21" t="str">
        <f>IF(TeamT[[#This Row],[General]]=2,"G","")&amp;IF(TeamT[[#This Row],[Agility]]=2,"A","")&amp;IF(TeamT[[#This Row],[Strength]]=2,"S","")&amp;IF(TeamT[[#This Row],[Passing]]=2,"P","")&amp;IF(TeamT[[#This Row],[Mutation]]=2,"M","")</f>
        <v>GAP</v>
      </c>
      <c r="R67" s="212"/>
      <c r="S67" s="21">
        <v>5</v>
      </c>
      <c r="T67" s="21">
        <v>5</v>
      </c>
      <c r="U67" s="21">
        <v>11</v>
      </c>
      <c r="AA67" s="76" t="e">
        <f>HLOOKUP(Roster!$E$5,Team!$BL$2:$MK$128,66,FALSE)</f>
        <v>#N/A</v>
      </c>
      <c r="AB67" s="76" t="e">
        <f>HLOOKUP(Roster!$E$6,Team!$BL$2:$MK$128,66,FALSE)</f>
        <v>#N/A</v>
      </c>
      <c r="AC67" s="76" t="e">
        <f>HLOOKUP(Roster!$E$7,Team!$BL$2:$MK$128,66,FALSE)</f>
        <v>#N/A</v>
      </c>
      <c r="AD67" s="76" t="e">
        <f>HLOOKUP(Roster!$E$8,Team!$BL$2:$MK$128,66,FALSE)</f>
        <v>#N/A</v>
      </c>
      <c r="AE67" s="76" t="e">
        <f>HLOOKUP(Roster!$E$9,Team!$BL$2:$MK$128,66,FALSE)</f>
        <v>#N/A</v>
      </c>
      <c r="AF67" s="76" t="e">
        <f>HLOOKUP(Roster!$E$10,Team!$BL$2:$MK$128,66,FALSE)</f>
        <v>#N/A</v>
      </c>
      <c r="AG67" s="76" t="e">
        <f>HLOOKUP(Roster!$E$11,Team!$BL$2:$MK$128,66,FALSE)</f>
        <v>#N/A</v>
      </c>
      <c r="AH67" s="76" t="e">
        <f>HLOOKUP(Roster!$E$12,Team!$BL$2:$MK$128,66,FALSE)</f>
        <v>#N/A</v>
      </c>
      <c r="AI67" s="76" t="e">
        <f>HLOOKUP(Roster!$E$13,Team!$BL$2:$MK$128,66,FALSE)</f>
        <v>#N/A</v>
      </c>
      <c r="AJ67" s="76" t="e">
        <f>HLOOKUP(Roster!$E$14,Team!$BL$2:$MK$128,66,FALSE)</f>
        <v>#N/A</v>
      </c>
      <c r="AK67" s="76" t="e">
        <f>HLOOKUP(Roster!$E$15,Team!$BL$2:$MK$128,66,FALSE)</f>
        <v>#N/A</v>
      </c>
      <c r="AL67" s="76" t="e">
        <f>HLOOKUP(Roster!$E$16,Team!$BL$2:$MK$128,66,FALSE)</f>
        <v>#N/A</v>
      </c>
      <c r="AM67" s="76" t="e">
        <f>HLOOKUP(Roster!$E$17,Team!$BL$2:$MK$128,66,FALSE)</f>
        <v>#N/A</v>
      </c>
      <c r="AN67" s="76" t="e">
        <f>HLOOKUP(Roster!$E$18,Team!$BL$2:$MK$128,66,FALSE)</f>
        <v>#N/A</v>
      </c>
      <c r="AO67" s="76" t="e">
        <f>HLOOKUP(Roster!$E$19,Team!$BL$2:$MK$128,66,FALSE)</f>
        <v>#N/A</v>
      </c>
      <c r="AP67" s="76" t="e">
        <f>HLOOKUP(Roster!$E$20,Team!$BL$2:$MK$128,66,FALSE)</f>
        <v>#N/A</v>
      </c>
      <c r="AR67" s="108">
        <f t="shared" si="1"/>
        <v>0</v>
      </c>
      <c r="AS67" s="108">
        <f t="shared" si="2"/>
        <v>0</v>
      </c>
      <c r="AT67" s="108">
        <f t="shared" si="3"/>
        <v>0</v>
      </c>
      <c r="AU67" s="108">
        <f t="shared" si="4"/>
        <v>0</v>
      </c>
      <c r="AV67" s="108">
        <f t="shared" si="5"/>
        <v>0</v>
      </c>
      <c r="AW67" s="108">
        <f t="shared" si="6"/>
        <v>0</v>
      </c>
      <c r="AX67" s="108">
        <f t="shared" si="7"/>
        <v>0</v>
      </c>
      <c r="AY67" s="108">
        <f t="shared" si="8"/>
        <v>0</v>
      </c>
      <c r="AZ67" s="108">
        <f t="shared" si="9"/>
        <v>0</v>
      </c>
      <c r="BA67" s="108">
        <f t="shared" si="10"/>
        <v>0</v>
      </c>
      <c r="BB67" s="108">
        <f t="shared" si="11"/>
        <v>0</v>
      </c>
      <c r="BC67" s="108">
        <f t="shared" si="12"/>
        <v>0</v>
      </c>
      <c r="BD67" s="108">
        <f t="shared" si="13"/>
        <v>0</v>
      </c>
      <c r="BE67" s="108">
        <f t="shared" si="14"/>
        <v>0</v>
      </c>
      <c r="BF67" s="108">
        <f t="shared" si="15"/>
        <v>0</v>
      </c>
      <c r="BG67" s="108">
        <f t="shared" si="16"/>
        <v>0</v>
      </c>
      <c r="BL67" s="75" t="s">
        <v>350</v>
      </c>
      <c r="BM67" s="75" t="s">
        <v>314</v>
      </c>
      <c r="BN67" s="75" t="s">
        <v>350</v>
      </c>
      <c r="BO67" s="75" t="s">
        <v>350</v>
      </c>
      <c r="BP67" s="75" t="s">
        <v>350</v>
      </c>
      <c r="BQ67" s="75"/>
      <c r="BR67" s="75" t="s">
        <v>314</v>
      </c>
      <c r="BS67" s="75" t="s">
        <v>314</v>
      </c>
      <c r="BT67" s="75" t="s">
        <v>314</v>
      </c>
      <c r="BU67" s="75" t="s">
        <v>314</v>
      </c>
      <c r="BV67" s="75"/>
      <c r="BW67" s="81" t="s">
        <v>230</v>
      </c>
      <c r="BX67" s="81" t="s">
        <v>314</v>
      </c>
      <c r="BY67" s="81" t="s">
        <v>314</v>
      </c>
      <c r="BZ67" s="81" t="s">
        <v>314</v>
      </c>
      <c r="CA67" s="81" t="s">
        <v>314</v>
      </c>
      <c r="CB67" s="81" t="s">
        <v>230</v>
      </c>
      <c r="CC67" s="77"/>
      <c r="CD67" s="75" t="s">
        <v>350</v>
      </c>
      <c r="CE67" s="81" t="s">
        <v>314</v>
      </c>
      <c r="CF67" s="75" t="s">
        <v>350</v>
      </c>
      <c r="CG67" s="81" t="s">
        <v>314</v>
      </c>
      <c r="CH67" s="75" t="s">
        <v>350</v>
      </c>
      <c r="CI67" s="77"/>
      <c r="CJ67" s="81" t="s">
        <v>314</v>
      </c>
      <c r="CK67" s="81" t="s">
        <v>230</v>
      </c>
      <c r="CL67" s="80" t="s">
        <v>326</v>
      </c>
      <c r="CM67" s="81" t="s">
        <v>314</v>
      </c>
      <c r="CN67" s="81" t="s">
        <v>314</v>
      </c>
      <c r="CO67" s="81" t="s">
        <v>230</v>
      </c>
      <c r="CP67" s="81" t="s">
        <v>314</v>
      </c>
      <c r="CQ67" s="81" t="s">
        <v>314</v>
      </c>
      <c r="CR67" s="81" t="s">
        <v>314</v>
      </c>
      <c r="CS67" s="81" t="s">
        <v>314</v>
      </c>
      <c r="CT67" s="81" t="s">
        <v>314</v>
      </c>
      <c r="CU67" s="81"/>
      <c r="CV67" s="75" t="s">
        <v>314</v>
      </c>
      <c r="CW67" s="75" t="s">
        <v>314</v>
      </c>
      <c r="CX67" s="75" t="s">
        <v>314</v>
      </c>
      <c r="CY67" s="75" t="s">
        <v>314</v>
      </c>
      <c r="CZ67" s="75" t="s">
        <v>314</v>
      </c>
      <c r="DA67" s="81"/>
      <c r="DB67" s="75" t="s">
        <v>350</v>
      </c>
      <c r="DC67" s="75" t="s">
        <v>314</v>
      </c>
      <c r="DD67" s="75" t="s">
        <v>314</v>
      </c>
      <c r="DE67" s="75" t="s">
        <v>314</v>
      </c>
      <c r="DF67" s="75" t="s">
        <v>314</v>
      </c>
      <c r="DG67" s="75" t="s">
        <v>350</v>
      </c>
      <c r="DH67" s="75"/>
      <c r="DI67" s="75" t="s">
        <v>350</v>
      </c>
      <c r="DJ67" s="75" t="s">
        <v>314</v>
      </c>
      <c r="DK67" s="75" t="s">
        <v>314</v>
      </c>
      <c r="DL67" s="75" t="s">
        <v>350</v>
      </c>
      <c r="DM67" s="75" t="s">
        <v>350</v>
      </c>
      <c r="DN67" s="75" t="s">
        <v>350</v>
      </c>
      <c r="DO67" s="75"/>
      <c r="DP67" s="75" t="s">
        <v>350</v>
      </c>
      <c r="DQ67" s="75" t="s">
        <v>314</v>
      </c>
      <c r="DR67" s="75" t="s">
        <v>350</v>
      </c>
      <c r="DS67" s="75" t="s">
        <v>314</v>
      </c>
      <c r="DT67" s="75" t="s">
        <v>350</v>
      </c>
      <c r="DU67" s="75"/>
      <c r="DV67" s="75" t="s">
        <v>314</v>
      </c>
      <c r="DW67" s="75" t="s">
        <v>314</v>
      </c>
      <c r="DX67" s="75" t="s">
        <v>350</v>
      </c>
      <c r="DY67" s="75" t="s">
        <v>350</v>
      </c>
      <c r="DZ67" s="75" t="s">
        <v>314</v>
      </c>
      <c r="EA67" s="75" t="s">
        <v>314</v>
      </c>
      <c r="EB67" s="75" t="s">
        <v>350</v>
      </c>
      <c r="EC67" s="75" t="s">
        <v>314</v>
      </c>
      <c r="ED67" s="75" t="s">
        <v>314</v>
      </c>
      <c r="EE67" s="75"/>
      <c r="EF67" s="75" t="s">
        <v>350</v>
      </c>
      <c r="EG67" s="75" t="s">
        <v>314</v>
      </c>
      <c r="EH67" s="75" t="s">
        <v>350</v>
      </c>
      <c r="EI67" s="75" t="s">
        <v>314</v>
      </c>
      <c r="EJ67" s="75" t="s">
        <v>350</v>
      </c>
      <c r="EK67" s="75"/>
      <c r="EL67" s="75" t="s">
        <v>314</v>
      </c>
      <c r="EM67" s="75" t="s">
        <v>314</v>
      </c>
      <c r="EN67" s="75" t="s">
        <v>350</v>
      </c>
      <c r="EO67" s="75" t="s">
        <v>314</v>
      </c>
      <c r="EP67" s="75" t="s">
        <v>314</v>
      </c>
      <c r="EQ67" s="75"/>
      <c r="ER67" s="75" t="s">
        <v>350</v>
      </c>
      <c r="ES67" s="75" t="s">
        <v>314</v>
      </c>
      <c r="ET67" s="75" t="s">
        <v>314</v>
      </c>
      <c r="EU67" s="75" t="s">
        <v>314</v>
      </c>
      <c r="EV67" s="75" t="s">
        <v>350</v>
      </c>
      <c r="EW67" s="75" t="s">
        <v>350</v>
      </c>
      <c r="EX67" s="75" t="s">
        <v>350</v>
      </c>
      <c r="EY67" s="75"/>
      <c r="EZ67" s="75" t="s">
        <v>350</v>
      </c>
      <c r="FA67" s="75" t="s">
        <v>314</v>
      </c>
      <c r="FB67" s="75" t="s">
        <v>314</v>
      </c>
      <c r="FC67" s="75" t="s">
        <v>350</v>
      </c>
      <c r="FD67" s="75" t="s">
        <v>350</v>
      </c>
      <c r="FE67" s="75" t="s">
        <v>350</v>
      </c>
      <c r="FF67" s="75"/>
      <c r="FG67" s="81" t="s">
        <v>314</v>
      </c>
      <c r="FH67" s="81" t="s">
        <v>230</v>
      </c>
      <c r="FI67" s="81" t="s">
        <v>314</v>
      </c>
      <c r="FJ67" s="81" t="s">
        <v>314</v>
      </c>
      <c r="FK67" s="81" t="s">
        <v>314</v>
      </c>
      <c r="FL67" s="75"/>
      <c r="FM67" s="75" t="s">
        <v>314</v>
      </c>
      <c r="FN67" s="75" t="s">
        <v>314</v>
      </c>
      <c r="FO67" s="75" t="s">
        <v>350</v>
      </c>
      <c r="FP67" s="75" t="s">
        <v>350</v>
      </c>
      <c r="FQ67" s="75" t="s">
        <v>314</v>
      </c>
      <c r="FR67" s="75"/>
      <c r="FS67" s="75" t="s">
        <v>350</v>
      </c>
      <c r="FT67" s="75" t="s">
        <v>314</v>
      </c>
      <c r="FU67" s="75" t="s">
        <v>350</v>
      </c>
      <c r="FV67" s="75" t="s">
        <v>314</v>
      </c>
      <c r="FW67" s="75" t="s">
        <v>350</v>
      </c>
      <c r="FX67" s="75" t="s">
        <v>350</v>
      </c>
      <c r="FY67" s="75"/>
      <c r="FZ67" s="75" t="s">
        <v>314</v>
      </c>
      <c r="GA67" s="75"/>
      <c r="GB67" s="75" t="s">
        <v>314</v>
      </c>
      <c r="GC67" s="75" t="s">
        <v>314</v>
      </c>
      <c r="GD67" s="75" t="s">
        <v>350</v>
      </c>
      <c r="GE67" s="75" t="s">
        <v>350</v>
      </c>
      <c r="GF67" s="75" t="s">
        <v>314</v>
      </c>
      <c r="GG67" s="75"/>
      <c r="GH67" s="81" t="s">
        <v>314</v>
      </c>
      <c r="GI67" s="81" t="s">
        <v>230</v>
      </c>
      <c r="GJ67" s="81" t="s">
        <v>314</v>
      </c>
      <c r="GK67" s="81" t="s">
        <v>314</v>
      </c>
      <c r="GL67" s="81" t="s">
        <v>314</v>
      </c>
      <c r="GM67" s="81"/>
      <c r="GO67" s="75" t="s">
        <v>314</v>
      </c>
      <c r="GP67" s="75" t="s">
        <v>314</v>
      </c>
      <c r="GS67" s="75" t="s">
        <v>350</v>
      </c>
      <c r="GT67" s="75" t="s">
        <v>314</v>
      </c>
      <c r="GU67" s="75" t="s">
        <v>350</v>
      </c>
      <c r="GV67" s="75" t="s">
        <v>350</v>
      </c>
      <c r="GW67" s="75" t="s">
        <v>350</v>
      </c>
      <c r="GX67" s="75" t="s">
        <v>314</v>
      </c>
      <c r="GY67" s="75" t="s">
        <v>350</v>
      </c>
      <c r="GZ67" s="75" t="s">
        <v>350</v>
      </c>
      <c r="HA67" s="75" t="s">
        <v>350</v>
      </c>
      <c r="HB67" s="75" t="s">
        <v>350</v>
      </c>
      <c r="HC67" s="75" t="s">
        <v>314</v>
      </c>
      <c r="HD67" s="75" t="s">
        <v>350</v>
      </c>
      <c r="HE67" s="75"/>
      <c r="HF67" s="75" t="s">
        <v>350</v>
      </c>
      <c r="HG67" s="75" t="s">
        <v>314</v>
      </c>
      <c r="HH67" s="75" t="s">
        <v>314</v>
      </c>
      <c r="HI67" s="75" t="s">
        <v>350</v>
      </c>
      <c r="HJ67" s="75" t="s">
        <v>350</v>
      </c>
      <c r="HK67" s="75" t="s">
        <v>314</v>
      </c>
      <c r="HL67" s="75" t="s">
        <v>350</v>
      </c>
      <c r="HM67" s="75"/>
      <c r="HN67" s="75" t="s">
        <v>350</v>
      </c>
      <c r="HO67" s="75" t="s">
        <v>350</v>
      </c>
      <c r="HP67" s="75" t="s">
        <v>314</v>
      </c>
      <c r="HQ67" s="75" t="s">
        <v>314</v>
      </c>
      <c r="HR67" s="75" t="s">
        <v>350</v>
      </c>
      <c r="HS67" s="75" t="s">
        <v>350</v>
      </c>
      <c r="HT67" s="75"/>
      <c r="HU67" s="75" t="s">
        <v>350</v>
      </c>
      <c r="HV67" s="75" t="s">
        <v>314</v>
      </c>
      <c r="HW67" s="75" t="s">
        <v>350</v>
      </c>
      <c r="HX67" s="75" t="s">
        <v>350</v>
      </c>
      <c r="HY67" s="75" t="s">
        <v>350</v>
      </c>
      <c r="HZ67" s="75" t="s">
        <v>350</v>
      </c>
      <c r="IA67" s="75"/>
      <c r="IB67" s="81" t="s">
        <v>314</v>
      </c>
      <c r="IC67" s="81" t="s">
        <v>230</v>
      </c>
      <c r="ID67" s="81" t="s">
        <v>230</v>
      </c>
      <c r="IE67" s="81" t="s">
        <v>230</v>
      </c>
      <c r="IF67" s="81" t="s">
        <v>314</v>
      </c>
      <c r="IG67" s="81" t="s">
        <v>314</v>
      </c>
      <c r="IH67" s="81"/>
      <c r="II67" s="75" t="s">
        <v>314</v>
      </c>
      <c r="IJ67" s="75" t="s">
        <v>314</v>
      </c>
      <c r="IK67" s="75" t="s">
        <v>314</v>
      </c>
      <c r="IL67" s="75" t="s">
        <v>314</v>
      </c>
      <c r="IM67" s="75" t="s">
        <v>314</v>
      </c>
      <c r="IN67" s="81"/>
      <c r="IP67" s="75" t="s">
        <v>350</v>
      </c>
      <c r="IS67" s="75" t="s">
        <v>350</v>
      </c>
      <c r="IT67" s="75" t="s">
        <v>314</v>
      </c>
      <c r="IW67" s="75" t="s">
        <v>350</v>
      </c>
      <c r="IX67" s="75" t="s">
        <v>350</v>
      </c>
      <c r="IY67" s="75" t="s">
        <v>314</v>
      </c>
      <c r="IZ67" s="75" t="s">
        <v>350</v>
      </c>
      <c r="JA67" s="75" t="s">
        <v>350</v>
      </c>
      <c r="JC67" s="81" t="s">
        <v>314</v>
      </c>
      <c r="JD67" s="81" t="s">
        <v>350</v>
      </c>
      <c r="JE67" s="81" t="s">
        <v>314</v>
      </c>
      <c r="JF67" s="81" t="s">
        <v>230</v>
      </c>
      <c r="JG67" s="81" t="s">
        <v>230</v>
      </c>
      <c r="JH67" s="81" t="s">
        <v>230</v>
      </c>
      <c r="JI67" s="81" t="s">
        <v>230</v>
      </c>
      <c r="JJ67" s="81" t="s">
        <v>314</v>
      </c>
      <c r="JK67" s="81" t="s">
        <v>314</v>
      </c>
      <c r="JL67" s="81"/>
      <c r="JM67" s="75" t="s">
        <v>350</v>
      </c>
      <c r="JN67" s="75" t="s">
        <v>314</v>
      </c>
      <c r="JO67" s="75" t="s">
        <v>350</v>
      </c>
      <c r="JP67" s="81"/>
      <c r="JQ67" s="75" t="s">
        <v>350</v>
      </c>
      <c r="JR67" s="75" t="s">
        <v>314</v>
      </c>
      <c r="JS67" s="75" t="s">
        <v>314</v>
      </c>
      <c r="JT67" s="75" t="s">
        <v>314</v>
      </c>
      <c r="JU67" s="75" t="s">
        <v>350</v>
      </c>
      <c r="JV67" s="75" t="s">
        <v>350</v>
      </c>
    </row>
    <row r="68" spans="1:282" x14ac:dyDescent="0.15">
      <c r="A68" s="214" t="s">
        <v>556</v>
      </c>
      <c r="B68" s="6" t="s">
        <v>20</v>
      </c>
      <c r="C68" s="6">
        <v>30000</v>
      </c>
      <c r="D68" s="6">
        <v>11</v>
      </c>
      <c r="E68" s="6">
        <v>5</v>
      </c>
      <c r="F68" s="6">
        <v>2</v>
      </c>
      <c r="G68" s="6" t="s">
        <v>36</v>
      </c>
      <c r="H68" s="6" t="s">
        <v>37</v>
      </c>
      <c r="I68" s="6" t="s">
        <v>103</v>
      </c>
      <c r="J68" s="21" t="s">
        <v>106</v>
      </c>
      <c r="K68" s="21">
        <v>2</v>
      </c>
      <c r="L68" s="21">
        <v>1</v>
      </c>
      <c r="M68" s="21">
        <v>2</v>
      </c>
      <c r="N68" s="21">
        <v>0</v>
      </c>
      <c r="O68" s="21">
        <v>0</v>
      </c>
      <c r="P68" s="21" t="str">
        <f>IF(TeamT[[#This Row],[General]]+TeamT[[#This Row],[Agility]]+TeamT[[#This Row],[Strength]]+TeamT[[#This Row],[Passing]]+TeamT[[#This Row],[Mutation]]&gt;0,IF(TeamT[[#This Row],[General]]=1,"G","")&amp;IF(TeamT[[#This Row],[Agility]]=1,"A","")&amp;IF(TeamT[[#This Row],[Strength]]=1,"S","")&amp;IF(TeamT[[#This Row],[Passing]]=1,"P","")&amp;IF(TeamT[[#This Row],[Mutation]]=1,"M",""),"Star")</f>
        <v>A</v>
      </c>
      <c r="Q68" s="21" t="str">
        <f>IF(TeamT[[#This Row],[General]]=2,"G","")&amp;IF(TeamT[[#This Row],[Agility]]=2,"A","")&amp;IF(TeamT[[#This Row],[Strength]]=2,"S","")&amp;IF(TeamT[[#This Row],[Passing]]=2,"P","")&amp;IF(TeamT[[#This Row],[Mutation]]=2,"M","")</f>
        <v>GS</v>
      </c>
      <c r="R68" s="212"/>
      <c r="S68" s="21">
        <v>3</v>
      </c>
      <c r="T68" s="21">
        <v>4</v>
      </c>
      <c r="U68" s="21">
        <v>7</v>
      </c>
      <c r="AA68" s="76" t="e">
        <f>HLOOKUP(Roster!$E$5,Team!$BL$2:$MK$128,67,FALSE)</f>
        <v>#N/A</v>
      </c>
      <c r="AB68" s="76" t="e">
        <f>HLOOKUP(Roster!$E$6,Team!$BL$2:$MK$128,67,FALSE)</f>
        <v>#N/A</v>
      </c>
      <c r="AC68" s="76" t="e">
        <f>HLOOKUP(Roster!$E$7,Team!$BL$2:$MK$128,67,FALSE)</f>
        <v>#N/A</v>
      </c>
      <c r="AD68" s="76" t="e">
        <f>HLOOKUP(Roster!$E$8,Team!$BL$2:$MK$128,67,FALSE)</f>
        <v>#N/A</v>
      </c>
      <c r="AE68" s="76" t="e">
        <f>HLOOKUP(Roster!$E$9,Team!$BL$2:$MK$128,67,FALSE)</f>
        <v>#N/A</v>
      </c>
      <c r="AF68" s="76" t="e">
        <f>HLOOKUP(Roster!$E$10,Team!$BL$2:$MK$128,67,FALSE)</f>
        <v>#N/A</v>
      </c>
      <c r="AG68" s="76" t="e">
        <f>HLOOKUP(Roster!$E$11,Team!$BL$2:$MK$128,67,FALSE)</f>
        <v>#N/A</v>
      </c>
      <c r="AH68" s="76" t="e">
        <f>HLOOKUP(Roster!$E$12,Team!$BL$2:$MK$128,67,FALSE)</f>
        <v>#N/A</v>
      </c>
      <c r="AI68" s="76" t="e">
        <f>HLOOKUP(Roster!$E$13,Team!$BL$2:$MK$128,67,FALSE)</f>
        <v>#N/A</v>
      </c>
      <c r="AJ68" s="76" t="e">
        <f>HLOOKUP(Roster!$E$14,Team!$BL$2:$MK$128,67,FALSE)</f>
        <v>#N/A</v>
      </c>
      <c r="AK68" s="76" t="e">
        <f>HLOOKUP(Roster!$E$15,Team!$BL$2:$MK$128,67,FALSE)</f>
        <v>#N/A</v>
      </c>
      <c r="AL68" s="76" t="e">
        <f>HLOOKUP(Roster!$E$16,Team!$BL$2:$MK$128,67,FALSE)</f>
        <v>#N/A</v>
      </c>
      <c r="AM68" s="76" t="e">
        <f>HLOOKUP(Roster!$E$17,Team!$BL$2:$MK$128,67,FALSE)</f>
        <v>#N/A</v>
      </c>
      <c r="AN68" s="76" t="e">
        <f>HLOOKUP(Roster!$E$18,Team!$BL$2:$MK$128,67,FALSE)</f>
        <v>#N/A</v>
      </c>
      <c r="AO68" s="76" t="e">
        <f>HLOOKUP(Roster!$E$19,Team!$BL$2:$MK$128,67,FALSE)</f>
        <v>#N/A</v>
      </c>
      <c r="AP68" s="76" t="e">
        <f>HLOOKUP(Roster!$E$20,Team!$BL$2:$MK$128,67,FALSE)</f>
        <v>#N/A</v>
      </c>
      <c r="AR68" s="108">
        <f t="shared" si="1"/>
        <v>0</v>
      </c>
      <c r="AS68" s="108">
        <f t="shared" si="2"/>
        <v>0</v>
      </c>
      <c r="AT68" s="108">
        <f t="shared" si="3"/>
        <v>0</v>
      </c>
      <c r="AU68" s="108">
        <f t="shared" si="4"/>
        <v>0</v>
      </c>
      <c r="AV68" s="108">
        <f t="shared" si="5"/>
        <v>0</v>
      </c>
      <c r="AW68" s="108">
        <f t="shared" si="6"/>
        <v>0</v>
      </c>
      <c r="AX68" s="108">
        <f t="shared" si="7"/>
        <v>0</v>
      </c>
      <c r="AY68" s="108">
        <f t="shared" si="8"/>
        <v>0</v>
      </c>
      <c r="AZ68" s="108">
        <f t="shared" si="9"/>
        <v>0</v>
      </c>
      <c r="BA68" s="108">
        <f t="shared" si="10"/>
        <v>0</v>
      </c>
      <c r="BB68" s="108">
        <f t="shared" si="11"/>
        <v>0</v>
      </c>
      <c r="BC68" s="108">
        <f t="shared" si="12"/>
        <v>0</v>
      </c>
      <c r="BD68" s="108">
        <f t="shared" si="13"/>
        <v>0</v>
      </c>
      <c r="BE68" s="108">
        <f t="shared" si="14"/>
        <v>0</v>
      </c>
      <c r="BF68" s="108">
        <f t="shared" si="15"/>
        <v>0</v>
      </c>
      <c r="BG68" s="108">
        <f t="shared" si="16"/>
        <v>0</v>
      </c>
      <c r="BL68" s="75" t="s">
        <v>351</v>
      </c>
      <c r="BM68" s="75" t="s">
        <v>315</v>
      </c>
      <c r="BN68" s="75" t="s">
        <v>351</v>
      </c>
      <c r="BO68" s="75" t="s">
        <v>351</v>
      </c>
      <c r="BP68" s="75" t="s">
        <v>351</v>
      </c>
      <c r="BQ68" s="75"/>
      <c r="BR68" s="75" t="s">
        <v>315</v>
      </c>
      <c r="BS68" s="75" t="s">
        <v>315</v>
      </c>
      <c r="BT68" s="75" t="s">
        <v>315</v>
      </c>
      <c r="BU68" s="75" t="s">
        <v>315</v>
      </c>
      <c r="BV68" s="75"/>
      <c r="BW68" s="81" t="s">
        <v>231</v>
      </c>
      <c r="BX68" s="81" t="s">
        <v>315</v>
      </c>
      <c r="BY68" s="81" t="s">
        <v>315</v>
      </c>
      <c r="BZ68" s="81" t="s">
        <v>315</v>
      </c>
      <c r="CA68" s="81" t="s">
        <v>315</v>
      </c>
      <c r="CB68" s="81" t="s">
        <v>231</v>
      </c>
      <c r="CC68" s="77"/>
      <c r="CD68" s="75" t="s">
        <v>351</v>
      </c>
      <c r="CE68" s="81" t="s">
        <v>315</v>
      </c>
      <c r="CF68" s="75" t="s">
        <v>351</v>
      </c>
      <c r="CG68" s="81" t="s">
        <v>315</v>
      </c>
      <c r="CH68" s="75" t="s">
        <v>351</v>
      </c>
      <c r="CI68" s="77"/>
      <c r="CJ68" s="81" t="s">
        <v>315</v>
      </c>
      <c r="CK68" s="81" t="s">
        <v>231</v>
      </c>
      <c r="CL68" s="81" t="s">
        <v>327</v>
      </c>
      <c r="CM68" s="81" t="s">
        <v>315</v>
      </c>
      <c r="CN68" s="81" t="s">
        <v>315</v>
      </c>
      <c r="CO68" s="81" t="s">
        <v>231</v>
      </c>
      <c r="CP68" s="81" t="s">
        <v>315</v>
      </c>
      <c r="CQ68" s="81" t="s">
        <v>315</v>
      </c>
      <c r="CR68" s="81" t="s">
        <v>315</v>
      </c>
      <c r="CS68" s="81" t="s">
        <v>315</v>
      </c>
      <c r="CT68" s="81" t="s">
        <v>315</v>
      </c>
      <c r="CU68" s="81"/>
      <c r="CV68" s="75" t="s">
        <v>315</v>
      </c>
      <c r="CW68" s="75" t="s">
        <v>315</v>
      </c>
      <c r="CX68" s="75" t="s">
        <v>315</v>
      </c>
      <c r="CY68" s="75" t="s">
        <v>315</v>
      </c>
      <c r="CZ68" s="75" t="s">
        <v>315</v>
      </c>
      <c r="DA68" s="81"/>
      <c r="DB68" s="75" t="s">
        <v>351</v>
      </c>
      <c r="DC68" s="75" t="s">
        <v>315</v>
      </c>
      <c r="DD68" s="75" t="s">
        <v>315</v>
      </c>
      <c r="DE68" s="75" t="s">
        <v>315</v>
      </c>
      <c r="DF68" s="75" t="s">
        <v>315</v>
      </c>
      <c r="DG68" s="75" t="s">
        <v>351</v>
      </c>
      <c r="DH68" s="75"/>
      <c r="DI68" s="75" t="s">
        <v>351</v>
      </c>
      <c r="DJ68" s="75" t="s">
        <v>315</v>
      </c>
      <c r="DK68" s="75" t="s">
        <v>315</v>
      </c>
      <c r="DL68" s="75" t="s">
        <v>351</v>
      </c>
      <c r="DM68" s="75" t="s">
        <v>351</v>
      </c>
      <c r="DN68" s="75" t="s">
        <v>351</v>
      </c>
      <c r="DO68" s="75"/>
      <c r="DP68" s="75" t="s">
        <v>351</v>
      </c>
      <c r="DQ68" s="75" t="s">
        <v>315</v>
      </c>
      <c r="DR68" s="75" t="s">
        <v>351</v>
      </c>
      <c r="DS68" s="75" t="s">
        <v>315</v>
      </c>
      <c r="DT68" s="75" t="s">
        <v>351</v>
      </c>
      <c r="DU68" s="75"/>
      <c r="DV68" s="75" t="s">
        <v>315</v>
      </c>
      <c r="DW68" s="75" t="s">
        <v>315</v>
      </c>
      <c r="DX68" s="75" t="s">
        <v>351</v>
      </c>
      <c r="DY68" s="75" t="s">
        <v>351</v>
      </c>
      <c r="DZ68" s="75" t="s">
        <v>315</v>
      </c>
      <c r="EA68" s="75" t="s">
        <v>315</v>
      </c>
      <c r="EB68" s="75" t="s">
        <v>351</v>
      </c>
      <c r="EC68" s="75" t="s">
        <v>315</v>
      </c>
      <c r="ED68" s="75" t="s">
        <v>315</v>
      </c>
      <c r="EE68" s="75"/>
      <c r="EF68" s="75" t="s">
        <v>351</v>
      </c>
      <c r="EG68" s="75" t="s">
        <v>315</v>
      </c>
      <c r="EH68" s="75" t="s">
        <v>351</v>
      </c>
      <c r="EI68" s="75" t="s">
        <v>315</v>
      </c>
      <c r="EJ68" s="75" t="s">
        <v>351</v>
      </c>
      <c r="EK68" s="75"/>
      <c r="EL68" s="75" t="s">
        <v>315</v>
      </c>
      <c r="EM68" s="75" t="s">
        <v>315</v>
      </c>
      <c r="EN68" s="75" t="s">
        <v>351</v>
      </c>
      <c r="EO68" s="75" t="s">
        <v>315</v>
      </c>
      <c r="EP68" s="75" t="s">
        <v>315</v>
      </c>
      <c r="EQ68" s="75"/>
      <c r="ER68" s="75" t="s">
        <v>351</v>
      </c>
      <c r="ES68" s="75" t="s">
        <v>315</v>
      </c>
      <c r="ET68" s="75" t="s">
        <v>315</v>
      </c>
      <c r="EU68" s="75" t="s">
        <v>315</v>
      </c>
      <c r="EV68" s="75" t="s">
        <v>351</v>
      </c>
      <c r="EW68" s="75" t="s">
        <v>351</v>
      </c>
      <c r="EX68" s="75" t="s">
        <v>351</v>
      </c>
      <c r="EY68" s="75"/>
      <c r="EZ68" s="75" t="s">
        <v>351</v>
      </c>
      <c r="FA68" s="75" t="s">
        <v>315</v>
      </c>
      <c r="FB68" s="75" t="s">
        <v>315</v>
      </c>
      <c r="FC68" s="75" t="s">
        <v>351</v>
      </c>
      <c r="FD68" s="75" t="s">
        <v>351</v>
      </c>
      <c r="FE68" s="75" t="s">
        <v>351</v>
      </c>
      <c r="FF68" s="75"/>
      <c r="FG68" s="81" t="s">
        <v>315</v>
      </c>
      <c r="FH68" s="81" t="s">
        <v>231</v>
      </c>
      <c r="FI68" s="81" t="s">
        <v>315</v>
      </c>
      <c r="FJ68" s="81" t="s">
        <v>315</v>
      </c>
      <c r="FK68" s="81" t="s">
        <v>315</v>
      </c>
      <c r="FL68" s="75"/>
      <c r="FM68" s="75" t="s">
        <v>315</v>
      </c>
      <c r="FN68" s="75" t="s">
        <v>315</v>
      </c>
      <c r="FO68" s="75" t="s">
        <v>351</v>
      </c>
      <c r="FP68" s="75" t="s">
        <v>351</v>
      </c>
      <c r="FQ68" s="75" t="s">
        <v>315</v>
      </c>
      <c r="FR68" s="75"/>
      <c r="FS68" s="75" t="s">
        <v>351</v>
      </c>
      <c r="FT68" s="75" t="s">
        <v>315</v>
      </c>
      <c r="FU68" s="75" t="s">
        <v>351</v>
      </c>
      <c r="FV68" s="75" t="s">
        <v>315</v>
      </c>
      <c r="FW68" s="75" t="s">
        <v>351</v>
      </c>
      <c r="FX68" s="75" t="s">
        <v>351</v>
      </c>
      <c r="FY68" s="75"/>
      <c r="FZ68" s="75" t="s">
        <v>315</v>
      </c>
      <c r="GA68" s="75"/>
      <c r="GB68" s="75" t="s">
        <v>315</v>
      </c>
      <c r="GC68" s="75" t="s">
        <v>315</v>
      </c>
      <c r="GD68" s="75" t="s">
        <v>351</v>
      </c>
      <c r="GE68" s="75" t="s">
        <v>351</v>
      </c>
      <c r="GF68" s="75" t="s">
        <v>315</v>
      </c>
      <c r="GG68" s="75"/>
      <c r="GH68" s="81" t="s">
        <v>315</v>
      </c>
      <c r="GI68" s="81" t="s">
        <v>231</v>
      </c>
      <c r="GJ68" s="81" t="s">
        <v>315</v>
      </c>
      <c r="GK68" s="81" t="s">
        <v>315</v>
      </c>
      <c r="GL68" s="81" t="s">
        <v>315</v>
      </c>
      <c r="GM68" s="81"/>
      <c r="GO68" s="75" t="s">
        <v>315</v>
      </c>
      <c r="GP68" s="75" t="s">
        <v>315</v>
      </c>
      <c r="GS68" s="75" t="s">
        <v>351</v>
      </c>
      <c r="GT68" s="75" t="s">
        <v>315</v>
      </c>
      <c r="GU68" s="75" t="s">
        <v>351</v>
      </c>
      <c r="GV68" s="75" t="s">
        <v>351</v>
      </c>
      <c r="GW68" s="75" t="s">
        <v>351</v>
      </c>
      <c r="GX68" s="75" t="s">
        <v>315</v>
      </c>
      <c r="GY68" s="75" t="s">
        <v>351</v>
      </c>
      <c r="GZ68" s="75" t="s">
        <v>351</v>
      </c>
      <c r="HA68" s="75" t="s">
        <v>351</v>
      </c>
      <c r="HB68" s="75" t="s">
        <v>351</v>
      </c>
      <c r="HC68" s="75" t="s">
        <v>315</v>
      </c>
      <c r="HD68" s="75" t="s">
        <v>351</v>
      </c>
      <c r="HE68" s="75"/>
      <c r="HF68" s="75" t="s">
        <v>351</v>
      </c>
      <c r="HG68" s="75" t="s">
        <v>315</v>
      </c>
      <c r="HH68" s="75" t="s">
        <v>315</v>
      </c>
      <c r="HI68" s="75" t="s">
        <v>351</v>
      </c>
      <c r="HJ68" s="75" t="s">
        <v>351</v>
      </c>
      <c r="HK68" s="75" t="s">
        <v>315</v>
      </c>
      <c r="HL68" s="75" t="s">
        <v>351</v>
      </c>
      <c r="HM68" s="75"/>
      <c r="HN68" s="75" t="s">
        <v>351</v>
      </c>
      <c r="HO68" s="75" t="s">
        <v>351</v>
      </c>
      <c r="HP68" s="75" t="s">
        <v>315</v>
      </c>
      <c r="HQ68" s="75" t="s">
        <v>315</v>
      </c>
      <c r="HR68" s="75" t="s">
        <v>351</v>
      </c>
      <c r="HS68" s="75" t="s">
        <v>351</v>
      </c>
      <c r="HT68" s="75"/>
      <c r="HU68" s="75" t="s">
        <v>351</v>
      </c>
      <c r="HV68" s="75" t="s">
        <v>315</v>
      </c>
      <c r="HW68" s="75" t="s">
        <v>351</v>
      </c>
      <c r="HX68" s="75" t="s">
        <v>351</v>
      </c>
      <c r="HY68" s="75" t="s">
        <v>351</v>
      </c>
      <c r="HZ68" s="75" t="s">
        <v>351</v>
      </c>
      <c r="IA68" s="75"/>
      <c r="IB68" s="81" t="s">
        <v>315</v>
      </c>
      <c r="IC68" s="81" t="s">
        <v>231</v>
      </c>
      <c r="ID68" s="81" t="s">
        <v>231</v>
      </c>
      <c r="IE68" s="81" t="s">
        <v>231</v>
      </c>
      <c r="IF68" s="81" t="s">
        <v>315</v>
      </c>
      <c r="IG68" s="81" t="s">
        <v>315</v>
      </c>
      <c r="IH68" s="81"/>
      <c r="II68" s="75" t="s">
        <v>315</v>
      </c>
      <c r="IJ68" s="75" t="s">
        <v>315</v>
      </c>
      <c r="IK68" s="75" t="s">
        <v>315</v>
      </c>
      <c r="IL68" s="75" t="s">
        <v>315</v>
      </c>
      <c r="IM68" s="75" t="s">
        <v>315</v>
      </c>
      <c r="IN68" s="81"/>
      <c r="IP68" s="75" t="s">
        <v>351</v>
      </c>
      <c r="IS68" s="75" t="s">
        <v>351</v>
      </c>
      <c r="IT68" s="75" t="s">
        <v>315</v>
      </c>
      <c r="IW68" s="75" t="s">
        <v>351</v>
      </c>
      <c r="IX68" s="75" t="s">
        <v>351</v>
      </c>
      <c r="IY68" s="75" t="s">
        <v>315</v>
      </c>
      <c r="IZ68" s="75" t="s">
        <v>351</v>
      </c>
      <c r="JA68" s="75" t="s">
        <v>351</v>
      </c>
      <c r="JC68" s="81" t="s">
        <v>315</v>
      </c>
      <c r="JD68" s="81" t="s">
        <v>351</v>
      </c>
      <c r="JE68" s="81" t="s">
        <v>315</v>
      </c>
      <c r="JF68" s="81" t="s">
        <v>231</v>
      </c>
      <c r="JG68" s="81" t="s">
        <v>231</v>
      </c>
      <c r="JH68" s="81" t="s">
        <v>231</v>
      </c>
      <c r="JI68" s="81" t="s">
        <v>231</v>
      </c>
      <c r="JJ68" s="81" t="s">
        <v>315</v>
      </c>
      <c r="JK68" s="81" t="s">
        <v>315</v>
      </c>
      <c r="JL68" s="81"/>
      <c r="JM68" s="75" t="s">
        <v>351</v>
      </c>
      <c r="JN68" s="75" t="s">
        <v>315</v>
      </c>
      <c r="JO68" s="75" t="s">
        <v>351</v>
      </c>
      <c r="JP68" s="81"/>
      <c r="JQ68" s="75" t="s">
        <v>351</v>
      </c>
      <c r="JR68" s="75" t="s">
        <v>315</v>
      </c>
      <c r="JS68" s="75" t="s">
        <v>315</v>
      </c>
      <c r="JT68" s="75" t="s">
        <v>315</v>
      </c>
      <c r="JU68" s="75" t="s">
        <v>351</v>
      </c>
      <c r="JV68" s="75" t="s">
        <v>351</v>
      </c>
    </row>
    <row r="69" spans="1:282" x14ac:dyDescent="0.15">
      <c r="A69" s="104" t="s">
        <v>595</v>
      </c>
      <c r="B69" s="6" t="s">
        <v>590</v>
      </c>
      <c r="C69" s="6">
        <v>70000</v>
      </c>
      <c r="D69" s="6">
        <v>16</v>
      </c>
      <c r="E69" s="6">
        <v>6</v>
      </c>
      <c r="F69" s="6">
        <v>3</v>
      </c>
      <c r="G69" s="6" t="s">
        <v>59</v>
      </c>
      <c r="H69" s="6" t="s">
        <v>37</v>
      </c>
      <c r="I69" s="6" t="s">
        <v>46</v>
      </c>
      <c r="J69" s="21"/>
      <c r="K69" s="21">
        <v>1</v>
      </c>
      <c r="L69" s="21">
        <v>1</v>
      </c>
      <c r="M69" s="21">
        <v>2</v>
      </c>
      <c r="N69" s="21">
        <v>2</v>
      </c>
      <c r="O69" s="21">
        <v>0</v>
      </c>
      <c r="P69" s="23" t="str">
        <f>IF(TeamT[[#This Row],[General]]+TeamT[[#This Row],[Agility]]+TeamT[[#This Row],[Strength]]+TeamT[[#This Row],[Passing]]+TeamT[[#This Row],[Mutation]]&gt;0,IF(TeamT[[#This Row],[General]]=1,"G","")&amp;IF(TeamT[[#This Row],[Agility]]=1,"A","")&amp;IF(TeamT[[#This Row],[Strength]]=1,"S","")&amp;IF(TeamT[[#This Row],[Passing]]=1,"P","")&amp;IF(TeamT[[#This Row],[Mutation]]=1,"M",""),"Star")</f>
        <v>GA</v>
      </c>
      <c r="Q69" s="23" t="str">
        <f>IF(TeamT[[#This Row],[General]]=2,"G","")&amp;IF(TeamT[[#This Row],[Agility]]=2,"A","")&amp;IF(TeamT[[#This Row],[Strength]]=2,"S","")&amp;IF(TeamT[[#This Row],[Passing]]=2,"P","")&amp;IF(TeamT[[#This Row],[Mutation]]=2,"M","")</f>
        <v>SP</v>
      </c>
      <c r="R69" s="212"/>
      <c r="S69" s="21">
        <v>2</v>
      </c>
      <c r="T69" s="21">
        <v>4</v>
      </c>
      <c r="U69" s="21">
        <v>9</v>
      </c>
      <c r="AA69" s="76" t="e">
        <f>HLOOKUP(Roster!$E$5,Team!$BL$2:$MK$128,68,FALSE)</f>
        <v>#N/A</v>
      </c>
      <c r="AB69" s="76" t="e">
        <f>HLOOKUP(Roster!$E$6,Team!$BL$2:$MK$128,68,FALSE)</f>
        <v>#N/A</v>
      </c>
      <c r="AC69" s="76" t="e">
        <f>HLOOKUP(Roster!$E$7,Team!$BL$2:$MK$128,68,FALSE)</f>
        <v>#N/A</v>
      </c>
      <c r="AD69" s="76" t="e">
        <f>HLOOKUP(Roster!$E$8,Team!$BL$2:$MK$128,68,FALSE)</f>
        <v>#N/A</v>
      </c>
      <c r="AE69" s="76" t="e">
        <f>HLOOKUP(Roster!$E$9,Team!$BL$2:$MK$128,68,FALSE)</f>
        <v>#N/A</v>
      </c>
      <c r="AF69" s="76" t="e">
        <f>HLOOKUP(Roster!$E$10,Team!$BL$2:$MK$128,68,FALSE)</f>
        <v>#N/A</v>
      </c>
      <c r="AG69" s="76" t="e">
        <f>HLOOKUP(Roster!$E$11,Team!$BL$2:$MK$128,68,FALSE)</f>
        <v>#N/A</v>
      </c>
      <c r="AH69" s="76" t="e">
        <f>HLOOKUP(Roster!$E$12,Team!$BL$2:$MK$128,68,FALSE)</f>
        <v>#N/A</v>
      </c>
      <c r="AI69" s="76" t="e">
        <f>HLOOKUP(Roster!$E$13,Team!$BL$2:$MK$128,68,FALSE)</f>
        <v>#N/A</v>
      </c>
      <c r="AJ69" s="76" t="e">
        <f>HLOOKUP(Roster!$E$14,Team!$BL$2:$MK$128,68,FALSE)</f>
        <v>#N/A</v>
      </c>
      <c r="AK69" s="76" t="e">
        <f>HLOOKUP(Roster!$E$15,Team!$BL$2:$MK$128,68,FALSE)</f>
        <v>#N/A</v>
      </c>
      <c r="AL69" s="76" t="e">
        <f>HLOOKUP(Roster!$E$16,Team!$BL$2:$MK$128,68,FALSE)</f>
        <v>#N/A</v>
      </c>
      <c r="AM69" s="76" t="e">
        <f>HLOOKUP(Roster!$E$17,Team!$BL$2:$MK$128,68,FALSE)</f>
        <v>#N/A</v>
      </c>
      <c r="AN69" s="76" t="e">
        <f>HLOOKUP(Roster!$E$18,Team!$BL$2:$MK$128,68,FALSE)</f>
        <v>#N/A</v>
      </c>
      <c r="AO69" s="76" t="e">
        <f>HLOOKUP(Roster!$E$19,Team!$BL$2:$MK$128,68,FALSE)</f>
        <v>#N/A</v>
      </c>
      <c r="AP69" s="76" t="e">
        <f>HLOOKUP(Roster!$E$20,Team!$BL$2:$MK$128,68,FALSE)</f>
        <v>#N/A</v>
      </c>
      <c r="AR69" s="108">
        <f t="shared" ref="AR69:AR128" si="17">_xlfn.IFNA($AA69,0)</f>
        <v>0</v>
      </c>
      <c r="AS69" s="108">
        <f t="shared" ref="AS69:AS128" si="18">_xlfn.IFNA($AB69,0)</f>
        <v>0</v>
      </c>
      <c r="AT69" s="108">
        <f t="shared" ref="AT69:AT128" si="19">_xlfn.IFNA($AC69,0)</f>
        <v>0</v>
      </c>
      <c r="AU69" s="108">
        <f t="shared" ref="AU69:AU128" si="20">_xlfn.IFNA($AD69,0)</f>
        <v>0</v>
      </c>
      <c r="AV69" s="108">
        <f t="shared" ref="AV69:AV128" si="21">_xlfn.IFNA($AE69,0)</f>
        <v>0</v>
      </c>
      <c r="AW69" s="108">
        <f t="shared" ref="AW69:AW128" si="22">_xlfn.IFNA($AF69,0)</f>
        <v>0</v>
      </c>
      <c r="AX69" s="108">
        <f t="shared" ref="AX69:AX128" si="23">_xlfn.IFNA($AG69,0)</f>
        <v>0</v>
      </c>
      <c r="AY69" s="108">
        <f t="shared" ref="AY69:AY128" si="24">_xlfn.IFNA($AH69,0)</f>
        <v>0</v>
      </c>
      <c r="AZ69" s="108">
        <f t="shared" ref="AZ69:AZ128" si="25">_xlfn.IFNA($AI69,0)</f>
        <v>0</v>
      </c>
      <c r="BA69" s="108">
        <f t="shared" ref="BA69:BA128" si="26">_xlfn.IFNA($AJ69,0)</f>
        <v>0</v>
      </c>
      <c r="BB69" s="108">
        <f t="shared" ref="BB69:BB128" si="27">_xlfn.IFNA($AK69,0)</f>
        <v>0</v>
      </c>
      <c r="BC69" s="108">
        <f t="shared" ref="BC69:BC128" si="28">_xlfn.IFNA($AL69,0)</f>
        <v>0</v>
      </c>
      <c r="BD69" s="108">
        <f t="shared" ref="BD69:BD128" si="29">_xlfn.IFNA($AM69,0)</f>
        <v>0</v>
      </c>
      <c r="BE69" s="108">
        <f t="shared" ref="BE69:BE128" si="30">_xlfn.IFNA($AN69,0)</f>
        <v>0</v>
      </c>
      <c r="BF69" s="108">
        <f t="shared" ref="BF69:BF128" si="31">_xlfn.IFNA($AO69,0)</f>
        <v>0</v>
      </c>
      <c r="BG69" s="108">
        <f t="shared" ref="BG69:BG128" si="32">_xlfn.IFNA($AP69,0)</f>
        <v>0</v>
      </c>
      <c r="BL69" s="75" t="s">
        <v>352</v>
      </c>
      <c r="BM69" s="75" t="s">
        <v>316</v>
      </c>
      <c r="BN69" s="75" t="s">
        <v>352</v>
      </c>
      <c r="BO69" s="75" t="s">
        <v>352</v>
      </c>
      <c r="BP69" s="75" t="s">
        <v>352</v>
      </c>
      <c r="BQ69" s="75"/>
      <c r="BR69" s="75" t="s">
        <v>316</v>
      </c>
      <c r="BS69" s="75" t="s">
        <v>316</v>
      </c>
      <c r="BT69" s="75" t="s">
        <v>316</v>
      </c>
      <c r="BU69" s="75" t="s">
        <v>316</v>
      </c>
      <c r="BV69" s="75"/>
      <c r="BW69" s="80" t="s">
        <v>305</v>
      </c>
      <c r="BX69" s="81" t="s">
        <v>328</v>
      </c>
      <c r="BY69" s="81" t="s">
        <v>328</v>
      </c>
      <c r="BZ69" s="81" t="s">
        <v>328</v>
      </c>
      <c r="CA69" s="81" t="s">
        <v>328</v>
      </c>
      <c r="CB69" s="80" t="s">
        <v>305</v>
      </c>
      <c r="CC69" s="77"/>
      <c r="CD69" s="75" t="s">
        <v>352</v>
      </c>
      <c r="CE69" s="81" t="s">
        <v>328</v>
      </c>
      <c r="CF69" s="75" t="s">
        <v>352</v>
      </c>
      <c r="CG69" s="81" t="s">
        <v>328</v>
      </c>
      <c r="CH69" s="75" t="s">
        <v>352</v>
      </c>
      <c r="CI69" s="77"/>
      <c r="CJ69" s="81" t="s">
        <v>328</v>
      </c>
      <c r="CK69" s="80" t="s">
        <v>305</v>
      </c>
      <c r="CL69" s="81" t="s">
        <v>328</v>
      </c>
      <c r="CM69" s="81" t="s">
        <v>328</v>
      </c>
      <c r="CN69" s="81" t="s">
        <v>328</v>
      </c>
      <c r="CO69" s="80" t="s">
        <v>305</v>
      </c>
      <c r="CP69" s="81" t="s">
        <v>328</v>
      </c>
      <c r="CQ69" s="81" t="s">
        <v>328</v>
      </c>
      <c r="CR69" s="81" t="s">
        <v>328</v>
      </c>
      <c r="CS69" s="81" t="s">
        <v>328</v>
      </c>
      <c r="CT69" s="81" t="s">
        <v>328</v>
      </c>
      <c r="CU69" s="81"/>
      <c r="CV69" s="75" t="s">
        <v>316</v>
      </c>
      <c r="CW69" s="75" t="s">
        <v>316</v>
      </c>
      <c r="CX69" s="75" t="s">
        <v>316</v>
      </c>
      <c r="CY69" s="75" t="s">
        <v>316</v>
      </c>
      <c r="CZ69" s="75" t="s">
        <v>316</v>
      </c>
      <c r="DA69" s="81"/>
      <c r="DB69" s="75" t="s">
        <v>352</v>
      </c>
      <c r="DC69" s="75" t="s">
        <v>316</v>
      </c>
      <c r="DD69" s="75" t="s">
        <v>316</v>
      </c>
      <c r="DE69" s="75" t="s">
        <v>316</v>
      </c>
      <c r="DF69" s="75" t="s">
        <v>316</v>
      </c>
      <c r="DG69" s="75" t="s">
        <v>352</v>
      </c>
      <c r="DH69" s="75"/>
      <c r="DI69" s="75" t="s">
        <v>352</v>
      </c>
      <c r="DJ69" s="75" t="s">
        <v>316</v>
      </c>
      <c r="DK69" s="75" t="s">
        <v>316</v>
      </c>
      <c r="DL69" s="75" t="s">
        <v>352</v>
      </c>
      <c r="DM69" s="75" t="s">
        <v>352</v>
      </c>
      <c r="DN69" s="75" t="s">
        <v>352</v>
      </c>
      <c r="DO69" s="75"/>
      <c r="DP69" s="75" t="s">
        <v>352</v>
      </c>
      <c r="DQ69" s="75" t="s">
        <v>316</v>
      </c>
      <c r="DR69" s="75" t="s">
        <v>352</v>
      </c>
      <c r="DS69" s="75" t="s">
        <v>316</v>
      </c>
      <c r="DT69" s="75" t="s">
        <v>352</v>
      </c>
      <c r="DU69" s="75"/>
      <c r="DV69" s="75" t="s">
        <v>316</v>
      </c>
      <c r="DW69" s="75" t="s">
        <v>316</v>
      </c>
      <c r="DX69" s="75" t="s">
        <v>352</v>
      </c>
      <c r="DY69" s="75" t="s">
        <v>352</v>
      </c>
      <c r="DZ69" s="75" t="s">
        <v>316</v>
      </c>
      <c r="EA69" s="75" t="s">
        <v>316</v>
      </c>
      <c r="EB69" s="75" t="s">
        <v>352</v>
      </c>
      <c r="EC69" s="75" t="s">
        <v>316</v>
      </c>
      <c r="ED69" s="75" t="s">
        <v>316</v>
      </c>
      <c r="EE69" s="75"/>
      <c r="EF69" s="75" t="s">
        <v>352</v>
      </c>
      <c r="EG69" s="75" t="s">
        <v>316</v>
      </c>
      <c r="EH69" s="75" t="s">
        <v>352</v>
      </c>
      <c r="EI69" s="75" t="s">
        <v>316</v>
      </c>
      <c r="EJ69" s="75" t="s">
        <v>352</v>
      </c>
      <c r="EK69" s="75"/>
      <c r="EL69" s="75" t="s">
        <v>316</v>
      </c>
      <c r="EM69" s="75" t="s">
        <v>316</v>
      </c>
      <c r="EN69" s="75" t="s">
        <v>352</v>
      </c>
      <c r="EO69" s="75" t="s">
        <v>316</v>
      </c>
      <c r="EP69" s="75" t="s">
        <v>316</v>
      </c>
      <c r="EQ69" s="75"/>
      <c r="ER69" s="75" t="s">
        <v>352</v>
      </c>
      <c r="ES69" s="75" t="s">
        <v>316</v>
      </c>
      <c r="ET69" s="75" t="s">
        <v>316</v>
      </c>
      <c r="EU69" s="75" t="s">
        <v>316</v>
      </c>
      <c r="EV69" s="75" t="s">
        <v>352</v>
      </c>
      <c r="EW69" s="75" t="s">
        <v>352</v>
      </c>
      <c r="EX69" s="75" t="s">
        <v>352</v>
      </c>
      <c r="EY69" s="75"/>
      <c r="EZ69" s="75" t="s">
        <v>352</v>
      </c>
      <c r="FA69" s="75" t="s">
        <v>316</v>
      </c>
      <c r="FB69" s="75" t="s">
        <v>316</v>
      </c>
      <c r="FC69" s="75" t="s">
        <v>352</v>
      </c>
      <c r="FD69" s="75" t="s">
        <v>352</v>
      </c>
      <c r="FE69" s="75" t="s">
        <v>352</v>
      </c>
      <c r="FF69" s="75"/>
      <c r="FG69" s="81" t="s">
        <v>328</v>
      </c>
      <c r="FH69" s="80" t="s">
        <v>305</v>
      </c>
      <c r="FI69" s="81" t="s">
        <v>328</v>
      </c>
      <c r="FJ69" s="81" t="s">
        <v>328</v>
      </c>
      <c r="FK69" s="81" t="s">
        <v>328</v>
      </c>
      <c r="FL69" s="75"/>
      <c r="FM69" s="75" t="s">
        <v>316</v>
      </c>
      <c r="FN69" s="75" t="s">
        <v>316</v>
      </c>
      <c r="FO69" s="75" t="s">
        <v>352</v>
      </c>
      <c r="FP69" s="75" t="s">
        <v>352</v>
      </c>
      <c r="FQ69" s="75" t="s">
        <v>316</v>
      </c>
      <c r="FR69" s="75"/>
      <c r="FS69" s="75" t="s">
        <v>352</v>
      </c>
      <c r="FT69" s="75" t="s">
        <v>316</v>
      </c>
      <c r="FU69" s="75" t="s">
        <v>352</v>
      </c>
      <c r="FV69" s="75" t="s">
        <v>316</v>
      </c>
      <c r="FW69" s="75" t="s">
        <v>352</v>
      </c>
      <c r="FX69" s="75" t="s">
        <v>352</v>
      </c>
      <c r="FY69" s="75"/>
      <c r="FZ69" s="75" t="s">
        <v>316</v>
      </c>
      <c r="GA69" s="75"/>
      <c r="GB69" s="75" t="s">
        <v>316</v>
      </c>
      <c r="GC69" s="75" t="s">
        <v>316</v>
      </c>
      <c r="GD69" s="75" t="s">
        <v>352</v>
      </c>
      <c r="GE69" s="75" t="s">
        <v>352</v>
      </c>
      <c r="GF69" s="75" t="s">
        <v>316</v>
      </c>
      <c r="GG69" s="75"/>
      <c r="GH69" s="81" t="s">
        <v>328</v>
      </c>
      <c r="GI69" s="80" t="s">
        <v>305</v>
      </c>
      <c r="GJ69" s="81" t="s">
        <v>328</v>
      </c>
      <c r="GK69" s="81" t="s">
        <v>328</v>
      </c>
      <c r="GL69" s="81" t="s">
        <v>328</v>
      </c>
      <c r="GM69" s="81"/>
      <c r="GO69" s="75" t="s">
        <v>316</v>
      </c>
      <c r="GP69" s="75" t="s">
        <v>316</v>
      </c>
      <c r="GS69" s="75" t="s">
        <v>352</v>
      </c>
      <c r="GT69" s="75" t="s">
        <v>316</v>
      </c>
      <c r="GU69" s="75" t="s">
        <v>352</v>
      </c>
      <c r="GV69" s="75" t="s">
        <v>352</v>
      </c>
      <c r="GW69" s="75" t="s">
        <v>352</v>
      </c>
      <c r="GX69" s="75" t="s">
        <v>316</v>
      </c>
      <c r="GY69" s="75" t="s">
        <v>352</v>
      </c>
      <c r="GZ69" s="75" t="s">
        <v>352</v>
      </c>
      <c r="HA69" s="75" t="s">
        <v>352</v>
      </c>
      <c r="HB69" s="75" t="s">
        <v>352</v>
      </c>
      <c r="HC69" s="75" t="s">
        <v>316</v>
      </c>
      <c r="HD69" s="75" t="s">
        <v>352</v>
      </c>
      <c r="HE69" s="75"/>
      <c r="HF69" s="75" t="s">
        <v>352</v>
      </c>
      <c r="HG69" s="75" t="s">
        <v>316</v>
      </c>
      <c r="HH69" s="75" t="s">
        <v>316</v>
      </c>
      <c r="HI69" s="75" t="s">
        <v>352</v>
      </c>
      <c r="HJ69" s="75" t="s">
        <v>352</v>
      </c>
      <c r="HK69" s="75" t="s">
        <v>316</v>
      </c>
      <c r="HL69" s="75" t="s">
        <v>352</v>
      </c>
      <c r="HM69" s="75"/>
      <c r="HN69" s="75" t="s">
        <v>352</v>
      </c>
      <c r="HO69" s="75" t="s">
        <v>352</v>
      </c>
      <c r="HP69" s="75" t="s">
        <v>316</v>
      </c>
      <c r="HQ69" s="75" t="s">
        <v>316</v>
      </c>
      <c r="HR69" s="75" t="s">
        <v>352</v>
      </c>
      <c r="HS69" s="75" t="s">
        <v>352</v>
      </c>
      <c r="HT69" s="75"/>
      <c r="HU69" s="75" t="s">
        <v>352</v>
      </c>
      <c r="HV69" s="75" t="s">
        <v>316</v>
      </c>
      <c r="HW69" s="75" t="s">
        <v>352</v>
      </c>
      <c r="HX69" s="75" t="s">
        <v>352</v>
      </c>
      <c r="HY69" s="75" t="s">
        <v>352</v>
      </c>
      <c r="HZ69" s="75" t="s">
        <v>352</v>
      </c>
      <c r="IA69" s="75"/>
      <c r="IB69" s="81" t="s">
        <v>328</v>
      </c>
      <c r="IC69" s="80" t="s">
        <v>305</v>
      </c>
      <c r="ID69" s="80" t="s">
        <v>305</v>
      </c>
      <c r="IE69" s="80" t="s">
        <v>305</v>
      </c>
      <c r="IF69" s="81" t="s">
        <v>328</v>
      </c>
      <c r="IG69" s="81" t="s">
        <v>328</v>
      </c>
      <c r="IH69" s="81"/>
      <c r="II69" s="75" t="s">
        <v>316</v>
      </c>
      <c r="IJ69" s="75" t="s">
        <v>316</v>
      </c>
      <c r="IK69" s="75" t="s">
        <v>316</v>
      </c>
      <c r="IL69" s="75" t="s">
        <v>316</v>
      </c>
      <c r="IM69" s="75" t="s">
        <v>316</v>
      </c>
      <c r="IN69" s="81"/>
      <c r="IP69" s="75" t="s">
        <v>352</v>
      </c>
      <c r="IS69" s="75" t="s">
        <v>352</v>
      </c>
      <c r="IT69" s="75" t="s">
        <v>316</v>
      </c>
      <c r="IW69" s="75" t="s">
        <v>352</v>
      </c>
      <c r="IX69" s="75" t="s">
        <v>352</v>
      </c>
      <c r="IY69" s="75" t="s">
        <v>316</v>
      </c>
      <c r="IZ69" s="75" t="s">
        <v>352</v>
      </c>
      <c r="JA69" s="75" t="s">
        <v>352</v>
      </c>
      <c r="JC69" s="81" t="s">
        <v>328</v>
      </c>
      <c r="JD69" s="81" t="s">
        <v>352</v>
      </c>
      <c r="JE69" s="81" t="s">
        <v>328</v>
      </c>
      <c r="JF69" s="80" t="s">
        <v>305</v>
      </c>
      <c r="JG69" s="80" t="s">
        <v>305</v>
      </c>
      <c r="JH69" s="80" t="s">
        <v>305</v>
      </c>
      <c r="JI69" s="80" t="s">
        <v>305</v>
      </c>
      <c r="JJ69" s="81" t="s">
        <v>328</v>
      </c>
      <c r="JK69" s="81" t="s">
        <v>328</v>
      </c>
      <c r="JL69" s="81"/>
      <c r="JM69" s="75" t="s">
        <v>352</v>
      </c>
      <c r="JN69" s="75" t="s">
        <v>316</v>
      </c>
      <c r="JO69" s="75" t="s">
        <v>352</v>
      </c>
      <c r="JP69" s="81"/>
      <c r="JQ69" s="75" t="s">
        <v>352</v>
      </c>
      <c r="JR69" s="75" t="s">
        <v>316</v>
      </c>
      <c r="JS69" s="75" t="s">
        <v>316</v>
      </c>
      <c r="JT69" s="75" t="s">
        <v>316</v>
      </c>
      <c r="JU69" s="75" t="s">
        <v>352</v>
      </c>
      <c r="JV69" s="75" t="s">
        <v>352</v>
      </c>
    </row>
    <row r="70" spans="1:282" x14ac:dyDescent="0.15">
      <c r="A70" s="104" t="s">
        <v>596</v>
      </c>
      <c r="B70" s="6" t="s">
        <v>590</v>
      </c>
      <c r="C70" s="6">
        <v>100000</v>
      </c>
      <c r="D70" s="6">
        <v>2</v>
      </c>
      <c r="E70" s="6">
        <v>6</v>
      </c>
      <c r="F70" s="6">
        <v>3</v>
      </c>
      <c r="G70" s="6" t="s">
        <v>59</v>
      </c>
      <c r="H70" s="6" t="s">
        <v>59</v>
      </c>
      <c r="I70" s="6" t="s">
        <v>46</v>
      </c>
      <c r="J70" s="21" t="s">
        <v>601</v>
      </c>
      <c r="K70" s="21">
        <v>1</v>
      </c>
      <c r="L70" s="21">
        <v>1</v>
      </c>
      <c r="M70" s="21">
        <v>2</v>
      </c>
      <c r="N70" s="21">
        <v>1</v>
      </c>
      <c r="O70" s="21">
        <v>0</v>
      </c>
      <c r="P70" s="23" t="str">
        <f>IF(TeamT[[#This Row],[General]]+TeamT[[#This Row],[Agility]]+TeamT[[#This Row],[Strength]]+TeamT[[#This Row],[Passing]]+TeamT[[#This Row],[Mutation]]&gt;0,IF(TeamT[[#This Row],[General]]=1,"G","")&amp;IF(TeamT[[#This Row],[Agility]]=1,"A","")&amp;IF(TeamT[[#This Row],[Strength]]=1,"S","")&amp;IF(TeamT[[#This Row],[Passing]]=1,"P","")&amp;IF(TeamT[[#This Row],[Mutation]]=1,"M",""),"Star")</f>
        <v>GAP</v>
      </c>
      <c r="Q70" s="23" t="str">
        <f>IF(TeamT[[#This Row],[General]]=2,"G","")&amp;IF(TeamT[[#This Row],[Agility]]=2,"A","")&amp;IF(TeamT[[#This Row],[Strength]]=2,"S","")&amp;IF(TeamT[[#This Row],[Passing]]=2,"P","")&amp;IF(TeamT[[#This Row],[Mutation]]=2,"M","")</f>
        <v>S</v>
      </c>
      <c r="R70" s="212"/>
      <c r="S70" s="21">
        <v>2</v>
      </c>
      <c r="T70" s="21">
        <v>2</v>
      </c>
      <c r="U70" s="21">
        <v>9</v>
      </c>
      <c r="AA70" s="76" t="e">
        <f>HLOOKUP(Roster!$E$5,Team!$BL$2:$MK$128,69,FALSE)</f>
        <v>#N/A</v>
      </c>
      <c r="AB70" s="76" t="e">
        <f>HLOOKUP(Roster!$E$6,Team!$BL$2:$MK$128,69,FALSE)</f>
        <v>#N/A</v>
      </c>
      <c r="AC70" s="76" t="e">
        <f>HLOOKUP(Roster!$E$7,Team!$BL$2:$MK$128,69,FALSE)</f>
        <v>#N/A</v>
      </c>
      <c r="AD70" s="76" t="e">
        <f>HLOOKUP(Roster!$E$8,Team!$BL$2:$MK$128,69,FALSE)</f>
        <v>#N/A</v>
      </c>
      <c r="AE70" s="76" t="e">
        <f>HLOOKUP(Roster!$E$9,Team!$BL$2:$MK$128,69,FALSE)</f>
        <v>#N/A</v>
      </c>
      <c r="AF70" s="76" t="e">
        <f>HLOOKUP(Roster!$E$10,Team!$BL$2:$MK$128,69,FALSE)</f>
        <v>#N/A</v>
      </c>
      <c r="AG70" s="76" t="e">
        <f>HLOOKUP(Roster!$E$11,Team!$BL$2:$MK$128,69,FALSE)</f>
        <v>#N/A</v>
      </c>
      <c r="AH70" s="76" t="e">
        <f>HLOOKUP(Roster!$E$12,Team!$BL$2:$MK$128,69,FALSE)</f>
        <v>#N/A</v>
      </c>
      <c r="AI70" s="76" t="e">
        <f>HLOOKUP(Roster!$E$13,Team!$BL$2:$MK$128,69,FALSE)</f>
        <v>#N/A</v>
      </c>
      <c r="AJ70" s="76" t="e">
        <f>HLOOKUP(Roster!$E$14,Team!$BL$2:$MK$128,69,FALSE)</f>
        <v>#N/A</v>
      </c>
      <c r="AK70" s="76" t="e">
        <f>HLOOKUP(Roster!$E$15,Team!$BL$2:$MK$128,69,FALSE)</f>
        <v>#N/A</v>
      </c>
      <c r="AL70" s="76" t="e">
        <f>HLOOKUP(Roster!$E$16,Team!$BL$2:$MK$128,69,FALSE)</f>
        <v>#N/A</v>
      </c>
      <c r="AM70" s="76" t="e">
        <f>HLOOKUP(Roster!$E$17,Team!$BL$2:$MK$128,69,FALSE)</f>
        <v>#N/A</v>
      </c>
      <c r="AN70" s="76" t="e">
        <f>HLOOKUP(Roster!$E$18,Team!$BL$2:$MK$128,69,FALSE)</f>
        <v>#N/A</v>
      </c>
      <c r="AO70" s="76" t="e">
        <f>HLOOKUP(Roster!$E$19,Team!$BL$2:$MK$128,69,FALSE)</f>
        <v>#N/A</v>
      </c>
      <c r="AP70" s="76" t="e">
        <f>HLOOKUP(Roster!$E$20,Team!$BL$2:$MK$128,69,FALSE)</f>
        <v>#N/A</v>
      </c>
      <c r="AR70" s="108">
        <f t="shared" si="17"/>
        <v>0</v>
      </c>
      <c r="AS70" s="108">
        <f t="shared" si="18"/>
        <v>0</v>
      </c>
      <c r="AT70" s="108">
        <f t="shared" si="19"/>
        <v>0</v>
      </c>
      <c r="AU70" s="108">
        <f t="shared" si="20"/>
        <v>0</v>
      </c>
      <c r="AV70" s="108">
        <f t="shared" si="21"/>
        <v>0</v>
      </c>
      <c r="AW70" s="108">
        <f t="shared" si="22"/>
        <v>0</v>
      </c>
      <c r="AX70" s="108">
        <f t="shared" si="23"/>
        <v>0</v>
      </c>
      <c r="AY70" s="108">
        <f t="shared" si="24"/>
        <v>0</v>
      </c>
      <c r="AZ70" s="108">
        <f t="shared" si="25"/>
        <v>0</v>
      </c>
      <c r="BA70" s="108">
        <f t="shared" si="26"/>
        <v>0</v>
      </c>
      <c r="BB70" s="108">
        <f t="shared" si="27"/>
        <v>0</v>
      </c>
      <c r="BC70" s="108">
        <f t="shared" si="28"/>
        <v>0</v>
      </c>
      <c r="BD70" s="108">
        <f t="shared" si="29"/>
        <v>0</v>
      </c>
      <c r="BE70" s="108">
        <f t="shared" si="30"/>
        <v>0</v>
      </c>
      <c r="BF70" s="108">
        <f t="shared" si="31"/>
        <v>0</v>
      </c>
      <c r="BG70" s="108">
        <f t="shared" si="32"/>
        <v>0</v>
      </c>
      <c r="BL70" s="74" t="s">
        <v>353</v>
      </c>
      <c r="BM70" s="75" t="s">
        <v>317</v>
      </c>
      <c r="BN70" s="74" t="s">
        <v>353</v>
      </c>
      <c r="BO70" s="74" t="s">
        <v>353</v>
      </c>
      <c r="BP70" s="74" t="s">
        <v>353</v>
      </c>
      <c r="BQ70" s="75"/>
      <c r="BR70" s="75" t="s">
        <v>317</v>
      </c>
      <c r="BS70" s="75" t="s">
        <v>317</v>
      </c>
      <c r="BT70" s="75" t="s">
        <v>317</v>
      </c>
      <c r="BU70" s="75" t="s">
        <v>317</v>
      </c>
      <c r="BV70" s="75"/>
      <c r="BW70" s="80" t="s">
        <v>306</v>
      </c>
      <c r="BX70" s="81" t="s">
        <v>329</v>
      </c>
      <c r="BY70" s="81" t="s">
        <v>329</v>
      </c>
      <c r="BZ70" s="81" t="s">
        <v>329</v>
      </c>
      <c r="CA70" s="81" t="s">
        <v>329</v>
      </c>
      <c r="CB70" s="80" t="s">
        <v>306</v>
      </c>
      <c r="CC70" s="77"/>
      <c r="CD70" s="74" t="s">
        <v>353</v>
      </c>
      <c r="CE70" s="81" t="s">
        <v>329</v>
      </c>
      <c r="CF70" s="74" t="s">
        <v>353</v>
      </c>
      <c r="CG70" s="81" t="s">
        <v>329</v>
      </c>
      <c r="CH70" s="74" t="s">
        <v>353</v>
      </c>
      <c r="CI70" s="77"/>
      <c r="CJ70" s="81" t="s">
        <v>329</v>
      </c>
      <c r="CK70" s="80" t="s">
        <v>306</v>
      </c>
      <c r="CL70" s="81" t="s">
        <v>329</v>
      </c>
      <c r="CM70" s="81" t="s">
        <v>329</v>
      </c>
      <c r="CN70" s="81" t="s">
        <v>329</v>
      </c>
      <c r="CO70" s="80" t="s">
        <v>306</v>
      </c>
      <c r="CP70" s="81" t="s">
        <v>329</v>
      </c>
      <c r="CQ70" s="81" t="s">
        <v>329</v>
      </c>
      <c r="CR70" s="81" t="s">
        <v>329</v>
      </c>
      <c r="CS70" s="81" t="s">
        <v>329</v>
      </c>
      <c r="CT70" s="81" t="s">
        <v>329</v>
      </c>
      <c r="CU70" s="81"/>
      <c r="CV70" s="75" t="s">
        <v>317</v>
      </c>
      <c r="CW70" s="75" t="s">
        <v>317</v>
      </c>
      <c r="CX70" s="75" t="s">
        <v>317</v>
      </c>
      <c r="CY70" s="75" t="s">
        <v>317</v>
      </c>
      <c r="CZ70" s="75" t="s">
        <v>317</v>
      </c>
      <c r="DA70" s="81"/>
      <c r="DB70" s="74" t="s">
        <v>353</v>
      </c>
      <c r="DC70" s="75" t="s">
        <v>317</v>
      </c>
      <c r="DD70" s="75" t="s">
        <v>317</v>
      </c>
      <c r="DE70" s="75" t="s">
        <v>317</v>
      </c>
      <c r="DF70" s="75" t="s">
        <v>317</v>
      </c>
      <c r="DG70" s="74" t="s">
        <v>353</v>
      </c>
      <c r="DH70" s="74"/>
      <c r="DI70" s="74" t="s">
        <v>353</v>
      </c>
      <c r="DJ70" s="75" t="s">
        <v>317</v>
      </c>
      <c r="DK70" s="75" t="s">
        <v>317</v>
      </c>
      <c r="DL70" s="74" t="s">
        <v>353</v>
      </c>
      <c r="DM70" s="74" t="s">
        <v>353</v>
      </c>
      <c r="DN70" s="74" t="s">
        <v>353</v>
      </c>
      <c r="DO70" s="74"/>
      <c r="DP70" s="74" t="s">
        <v>353</v>
      </c>
      <c r="DQ70" s="75" t="s">
        <v>317</v>
      </c>
      <c r="DR70" s="74" t="s">
        <v>353</v>
      </c>
      <c r="DS70" s="75" t="s">
        <v>317</v>
      </c>
      <c r="DT70" s="74" t="s">
        <v>353</v>
      </c>
      <c r="DU70" s="74"/>
      <c r="DV70" s="75" t="s">
        <v>317</v>
      </c>
      <c r="DW70" s="75" t="s">
        <v>317</v>
      </c>
      <c r="DX70" s="74" t="s">
        <v>353</v>
      </c>
      <c r="DY70" s="74" t="s">
        <v>353</v>
      </c>
      <c r="DZ70" s="75" t="s">
        <v>317</v>
      </c>
      <c r="EA70" s="75" t="s">
        <v>317</v>
      </c>
      <c r="EB70" s="74" t="s">
        <v>353</v>
      </c>
      <c r="EC70" s="75" t="s">
        <v>317</v>
      </c>
      <c r="ED70" s="75" t="s">
        <v>317</v>
      </c>
      <c r="EE70" s="75"/>
      <c r="EF70" s="74" t="s">
        <v>353</v>
      </c>
      <c r="EG70" s="75" t="s">
        <v>317</v>
      </c>
      <c r="EH70" s="74" t="s">
        <v>353</v>
      </c>
      <c r="EI70" s="75" t="s">
        <v>317</v>
      </c>
      <c r="EJ70" s="74" t="s">
        <v>353</v>
      </c>
      <c r="EK70" s="74"/>
      <c r="EL70" s="75" t="s">
        <v>317</v>
      </c>
      <c r="EM70" s="75" t="s">
        <v>317</v>
      </c>
      <c r="EN70" s="74" t="s">
        <v>353</v>
      </c>
      <c r="EO70" s="75" t="s">
        <v>317</v>
      </c>
      <c r="EP70" s="75" t="s">
        <v>317</v>
      </c>
      <c r="EQ70" s="74"/>
      <c r="ER70" s="74" t="s">
        <v>353</v>
      </c>
      <c r="ES70" s="75" t="s">
        <v>317</v>
      </c>
      <c r="ET70" s="75" t="s">
        <v>317</v>
      </c>
      <c r="EU70" s="75" t="s">
        <v>317</v>
      </c>
      <c r="EV70" s="74" t="s">
        <v>353</v>
      </c>
      <c r="EW70" s="74" t="s">
        <v>353</v>
      </c>
      <c r="EX70" s="74" t="s">
        <v>353</v>
      </c>
      <c r="EY70" s="74"/>
      <c r="EZ70" s="74" t="s">
        <v>353</v>
      </c>
      <c r="FA70" s="75" t="s">
        <v>317</v>
      </c>
      <c r="FB70" s="75" t="s">
        <v>317</v>
      </c>
      <c r="FC70" s="74" t="s">
        <v>353</v>
      </c>
      <c r="FD70" s="74" t="s">
        <v>353</v>
      </c>
      <c r="FE70" s="74" t="s">
        <v>353</v>
      </c>
      <c r="FF70" s="74"/>
      <c r="FG70" s="81" t="s">
        <v>329</v>
      </c>
      <c r="FH70" s="80" t="s">
        <v>306</v>
      </c>
      <c r="FI70" s="81" t="s">
        <v>329</v>
      </c>
      <c r="FJ70" s="81" t="s">
        <v>329</v>
      </c>
      <c r="FK70" s="81" t="s">
        <v>329</v>
      </c>
      <c r="FL70" s="74"/>
      <c r="FM70" s="75" t="s">
        <v>317</v>
      </c>
      <c r="FN70" s="75" t="s">
        <v>317</v>
      </c>
      <c r="FO70" s="74" t="s">
        <v>353</v>
      </c>
      <c r="FP70" s="74" t="s">
        <v>353</v>
      </c>
      <c r="FQ70" s="75" t="s">
        <v>317</v>
      </c>
      <c r="FR70" s="75"/>
      <c r="FS70" s="74" t="s">
        <v>353</v>
      </c>
      <c r="FT70" s="75" t="s">
        <v>317</v>
      </c>
      <c r="FU70" s="74" t="s">
        <v>353</v>
      </c>
      <c r="FV70" s="75" t="s">
        <v>317</v>
      </c>
      <c r="FW70" s="74" t="s">
        <v>353</v>
      </c>
      <c r="FX70" s="74" t="s">
        <v>353</v>
      </c>
      <c r="FY70" s="74"/>
      <c r="FZ70" s="75" t="s">
        <v>317</v>
      </c>
      <c r="GA70" s="75"/>
      <c r="GB70" s="75" t="s">
        <v>317</v>
      </c>
      <c r="GC70" s="75" t="s">
        <v>317</v>
      </c>
      <c r="GD70" s="74" t="s">
        <v>353</v>
      </c>
      <c r="GE70" s="74" t="s">
        <v>353</v>
      </c>
      <c r="GF70" s="75" t="s">
        <v>317</v>
      </c>
      <c r="GG70" s="74"/>
      <c r="GH70" s="81" t="s">
        <v>329</v>
      </c>
      <c r="GI70" s="80" t="s">
        <v>306</v>
      </c>
      <c r="GJ70" s="81" t="s">
        <v>329</v>
      </c>
      <c r="GK70" s="81" t="s">
        <v>329</v>
      </c>
      <c r="GL70" s="81" t="s">
        <v>329</v>
      </c>
      <c r="GM70" s="81"/>
      <c r="GO70" s="75" t="s">
        <v>317</v>
      </c>
      <c r="GP70" s="75" t="s">
        <v>317</v>
      </c>
      <c r="GS70" s="74" t="s">
        <v>353</v>
      </c>
      <c r="GT70" s="75" t="s">
        <v>317</v>
      </c>
      <c r="GU70" s="74" t="s">
        <v>353</v>
      </c>
      <c r="GV70" s="74" t="s">
        <v>353</v>
      </c>
      <c r="GW70" s="74" t="s">
        <v>353</v>
      </c>
      <c r="GX70" s="75" t="s">
        <v>317</v>
      </c>
      <c r="GY70" s="74" t="s">
        <v>353</v>
      </c>
      <c r="GZ70" s="74" t="s">
        <v>353</v>
      </c>
      <c r="HA70" s="74" t="s">
        <v>353</v>
      </c>
      <c r="HB70" s="74" t="s">
        <v>353</v>
      </c>
      <c r="HC70" s="75" t="s">
        <v>317</v>
      </c>
      <c r="HD70" s="74" t="s">
        <v>353</v>
      </c>
      <c r="HE70" s="74"/>
      <c r="HF70" s="74" t="s">
        <v>353</v>
      </c>
      <c r="HG70" s="75" t="s">
        <v>317</v>
      </c>
      <c r="HH70" s="75" t="s">
        <v>317</v>
      </c>
      <c r="HI70" s="74" t="s">
        <v>353</v>
      </c>
      <c r="HJ70" s="74" t="s">
        <v>353</v>
      </c>
      <c r="HK70" s="75" t="s">
        <v>317</v>
      </c>
      <c r="HL70" s="74" t="s">
        <v>353</v>
      </c>
      <c r="HM70" s="74"/>
      <c r="HN70" s="74" t="s">
        <v>353</v>
      </c>
      <c r="HO70" s="74" t="s">
        <v>353</v>
      </c>
      <c r="HP70" s="75" t="s">
        <v>317</v>
      </c>
      <c r="HQ70" s="75" t="s">
        <v>317</v>
      </c>
      <c r="HR70" s="74" t="s">
        <v>353</v>
      </c>
      <c r="HS70" s="74" t="s">
        <v>353</v>
      </c>
      <c r="HT70" s="74"/>
      <c r="HU70" s="74" t="s">
        <v>353</v>
      </c>
      <c r="HV70" s="75" t="s">
        <v>317</v>
      </c>
      <c r="HW70" s="74" t="s">
        <v>353</v>
      </c>
      <c r="HX70" s="74" t="s">
        <v>353</v>
      </c>
      <c r="HY70" s="74" t="s">
        <v>353</v>
      </c>
      <c r="HZ70" s="74" t="s">
        <v>353</v>
      </c>
      <c r="IA70" s="74"/>
      <c r="IB70" s="81" t="s">
        <v>329</v>
      </c>
      <c r="IC70" s="80" t="s">
        <v>306</v>
      </c>
      <c r="ID70" s="80" t="s">
        <v>306</v>
      </c>
      <c r="IE70" s="80" t="s">
        <v>306</v>
      </c>
      <c r="IF70" s="81" t="s">
        <v>329</v>
      </c>
      <c r="IG70" s="81" t="s">
        <v>329</v>
      </c>
      <c r="IH70" s="81"/>
      <c r="II70" s="75" t="s">
        <v>317</v>
      </c>
      <c r="IJ70" s="75" t="s">
        <v>317</v>
      </c>
      <c r="IK70" s="75" t="s">
        <v>317</v>
      </c>
      <c r="IL70" s="75" t="s">
        <v>317</v>
      </c>
      <c r="IM70" s="75" t="s">
        <v>317</v>
      </c>
      <c r="IN70" s="81"/>
      <c r="IP70" s="74" t="s">
        <v>353</v>
      </c>
      <c r="IS70" s="74" t="s">
        <v>353</v>
      </c>
      <c r="IT70" s="75" t="s">
        <v>317</v>
      </c>
      <c r="IW70" s="74" t="s">
        <v>353</v>
      </c>
      <c r="IX70" s="74" t="s">
        <v>353</v>
      </c>
      <c r="IY70" s="75" t="s">
        <v>317</v>
      </c>
      <c r="IZ70" s="74" t="s">
        <v>353</v>
      </c>
      <c r="JA70" s="74" t="s">
        <v>353</v>
      </c>
      <c r="JC70" s="81" t="s">
        <v>329</v>
      </c>
      <c r="JD70" s="80" t="s">
        <v>353</v>
      </c>
      <c r="JE70" s="81" t="s">
        <v>329</v>
      </c>
      <c r="JF70" s="80" t="s">
        <v>306</v>
      </c>
      <c r="JG70" s="80" t="s">
        <v>306</v>
      </c>
      <c r="JH70" s="80" t="s">
        <v>306</v>
      </c>
      <c r="JI70" s="80" t="s">
        <v>306</v>
      </c>
      <c r="JJ70" s="81" t="s">
        <v>329</v>
      </c>
      <c r="JK70" s="81" t="s">
        <v>329</v>
      </c>
      <c r="JL70" s="81"/>
      <c r="JM70" s="74" t="s">
        <v>353</v>
      </c>
      <c r="JN70" s="75" t="s">
        <v>317</v>
      </c>
      <c r="JO70" s="74" t="s">
        <v>353</v>
      </c>
      <c r="JP70" s="81"/>
      <c r="JQ70" s="74" t="s">
        <v>353</v>
      </c>
      <c r="JR70" s="75" t="s">
        <v>317</v>
      </c>
      <c r="JS70" s="75" t="s">
        <v>317</v>
      </c>
      <c r="JT70" s="75" t="s">
        <v>317</v>
      </c>
      <c r="JU70" s="74" t="s">
        <v>353</v>
      </c>
      <c r="JV70" s="74" t="s">
        <v>353</v>
      </c>
    </row>
    <row r="71" spans="1:282" ht="26.25" x14ac:dyDescent="0.15">
      <c r="A71" s="104" t="s">
        <v>597</v>
      </c>
      <c r="B71" s="6" t="s">
        <v>590</v>
      </c>
      <c r="C71" s="6">
        <v>90000</v>
      </c>
      <c r="D71" s="6">
        <v>4</v>
      </c>
      <c r="E71" s="6">
        <v>8</v>
      </c>
      <c r="F71" s="6">
        <v>3</v>
      </c>
      <c r="G71" s="6" t="s">
        <v>59</v>
      </c>
      <c r="H71" s="6" t="s">
        <v>40</v>
      </c>
      <c r="I71" s="6" t="s">
        <v>38</v>
      </c>
      <c r="J71" s="21" t="s">
        <v>224</v>
      </c>
      <c r="K71" s="21">
        <v>1</v>
      </c>
      <c r="L71" s="21">
        <v>1</v>
      </c>
      <c r="M71" s="21">
        <v>2</v>
      </c>
      <c r="N71" s="21">
        <v>0</v>
      </c>
      <c r="O71" s="21">
        <v>0</v>
      </c>
      <c r="P71" s="23" t="str">
        <f>IF(TeamT[[#This Row],[General]]+TeamT[[#This Row],[Agility]]+TeamT[[#This Row],[Strength]]+TeamT[[#This Row],[Passing]]+TeamT[[#This Row],[Mutation]]&gt;0,IF(TeamT[[#This Row],[General]]=1,"G","")&amp;IF(TeamT[[#This Row],[Agility]]=1,"A","")&amp;IF(TeamT[[#This Row],[Strength]]=1,"S","")&amp;IF(TeamT[[#This Row],[Passing]]=1,"P","")&amp;IF(TeamT[[#This Row],[Mutation]]=1,"M",""),"Star")</f>
        <v>GA</v>
      </c>
      <c r="Q71" s="23" t="str">
        <f>IF(TeamT[[#This Row],[General]]=2,"G","")&amp;IF(TeamT[[#This Row],[Agility]]=2,"A","")&amp;IF(TeamT[[#This Row],[Strength]]=2,"S","")&amp;IF(TeamT[[#This Row],[Passing]]=2,"P","")&amp;IF(TeamT[[#This Row],[Mutation]]=2,"M","")</f>
        <v>S</v>
      </c>
      <c r="R71" s="212"/>
      <c r="S71" s="21">
        <v>2</v>
      </c>
      <c r="T71" s="21">
        <v>5</v>
      </c>
      <c r="U71" s="21">
        <v>8</v>
      </c>
      <c r="AA71" s="76" t="e">
        <f>HLOOKUP(Roster!$E$5,Team!$BL$2:$MK$128,70,FALSE)</f>
        <v>#N/A</v>
      </c>
      <c r="AB71" s="76" t="e">
        <f>HLOOKUP(Roster!$E$6,Team!$BL$2:$MK$128,70,FALSE)</f>
        <v>#N/A</v>
      </c>
      <c r="AC71" s="76" t="e">
        <f>HLOOKUP(Roster!$E$7,Team!$BL$2:$MK$128,70,FALSE)</f>
        <v>#N/A</v>
      </c>
      <c r="AD71" s="76" t="e">
        <f>HLOOKUP(Roster!$E$8,Team!$BL$2:$MK$128,70,FALSE)</f>
        <v>#N/A</v>
      </c>
      <c r="AE71" s="76" t="e">
        <f>HLOOKUP(Roster!$E$9,Team!$BL$2:$MK$128,70,FALSE)</f>
        <v>#N/A</v>
      </c>
      <c r="AF71" s="76" t="e">
        <f>HLOOKUP(Roster!$E$10,Team!$BL$2:$MK$128,70,FALSE)</f>
        <v>#N/A</v>
      </c>
      <c r="AG71" s="76" t="e">
        <f>HLOOKUP(Roster!$E$11,Team!$BL$2:$MK$128,70,FALSE)</f>
        <v>#N/A</v>
      </c>
      <c r="AH71" s="76" t="e">
        <f>HLOOKUP(Roster!$E$12,Team!$BL$2:$MK$128,70,FALSE)</f>
        <v>#N/A</v>
      </c>
      <c r="AI71" s="76" t="e">
        <f>HLOOKUP(Roster!$E$13,Team!$BL$2:$MK$128,70,FALSE)</f>
        <v>#N/A</v>
      </c>
      <c r="AJ71" s="76" t="e">
        <f>HLOOKUP(Roster!$E$14,Team!$BL$2:$MK$128,70,FALSE)</f>
        <v>#N/A</v>
      </c>
      <c r="AK71" s="76" t="e">
        <f>HLOOKUP(Roster!$E$15,Team!$BL$2:$MK$128,70,FALSE)</f>
        <v>#N/A</v>
      </c>
      <c r="AL71" s="76" t="e">
        <f>HLOOKUP(Roster!$E$16,Team!$BL$2:$MK$128,70,FALSE)</f>
        <v>#N/A</v>
      </c>
      <c r="AM71" s="76" t="e">
        <f>HLOOKUP(Roster!$E$17,Team!$BL$2:$MK$128,70,FALSE)</f>
        <v>#N/A</v>
      </c>
      <c r="AN71" s="76" t="e">
        <f>HLOOKUP(Roster!$E$18,Team!$BL$2:$MK$128,70,FALSE)</f>
        <v>#N/A</v>
      </c>
      <c r="AO71" s="76" t="e">
        <f>HLOOKUP(Roster!$E$19,Team!$BL$2:$MK$128,70,FALSE)</f>
        <v>#N/A</v>
      </c>
      <c r="AP71" s="76" t="e">
        <f>HLOOKUP(Roster!$E$20,Team!$BL$2:$MK$128,70,FALSE)</f>
        <v>#N/A</v>
      </c>
      <c r="AR71" s="108">
        <f t="shared" si="17"/>
        <v>0</v>
      </c>
      <c r="AS71" s="108">
        <f t="shared" si="18"/>
        <v>0</v>
      </c>
      <c r="AT71" s="108">
        <f t="shared" si="19"/>
        <v>0</v>
      </c>
      <c r="AU71" s="108">
        <f t="shared" si="20"/>
        <v>0</v>
      </c>
      <c r="AV71" s="108">
        <f t="shared" si="21"/>
        <v>0</v>
      </c>
      <c r="AW71" s="108">
        <f t="shared" si="22"/>
        <v>0</v>
      </c>
      <c r="AX71" s="108">
        <f t="shared" si="23"/>
        <v>0</v>
      </c>
      <c r="AY71" s="108">
        <f t="shared" si="24"/>
        <v>0</v>
      </c>
      <c r="AZ71" s="108">
        <f t="shared" si="25"/>
        <v>0</v>
      </c>
      <c r="BA71" s="108">
        <f t="shared" si="26"/>
        <v>0</v>
      </c>
      <c r="BB71" s="108">
        <f t="shared" si="27"/>
        <v>0</v>
      </c>
      <c r="BC71" s="108">
        <f t="shared" si="28"/>
        <v>0</v>
      </c>
      <c r="BD71" s="108">
        <f t="shared" si="29"/>
        <v>0</v>
      </c>
      <c r="BE71" s="108">
        <f t="shared" si="30"/>
        <v>0</v>
      </c>
      <c r="BF71" s="108">
        <f t="shared" si="31"/>
        <v>0</v>
      </c>
      <c r="BG71" s="108">
        <f t="shared" si="32"/>
        <v>0</v>
      </c>
      <c r="BL71" s="75" t="s">
        <v>354</v>
      </c>
      <c r="BM71" s="75" t="s">
        <v>318</v>
      </c>
      <c r="BN71" s="75" t="s">
        <v>354</v>
      </c>
      <c r="BO71" s="75" t="s">
        <v>354</v>
      </c>
      <c r="BP71" s="75" t="s">
        <v>354</v>
      </c>
      <c r="BQ71" s="75"/>
      <c r="BR71" s="75" t="s">
        <v>318</v>
      </c>
      <c r="BS71" s="75" t="s">
        <v>318</v>
      </c>
      <c r="BT71" s="75" t="s">
        <v>318</v>
      </c>
      <c r="BU71" s="75" t="s">
        <v>318</v>
      </c>
      <c r="BV71" s="75"/>
      <c r="BW71" s="81" t="s">
        <v>307</v>
      </c>
      <c r="BX71" s="81" t="s">
        <v>330</v>
      </c>
      <c r="BY71" s="81" t="s">
        <v>330</v>
      </c>
      <c r="BZ71" s="81" t="s">
        <v>330</v>
      </c>
      <c r="CA71" s="81" t="s">
        <v>330</v>
      </c>
      <c r="CB71" s="81" t="s">
        <v>307</v>
      </c>
      <c r="CC71" s="77"/>
      <c r="CD71" s="75" t="s">
        <v>354</v>
      </c>
      <c r="CE71" s="81" t="s">
        <v>330</v>
      </c>
      <c r="CF71" s="75" t="s">
        <v>354</v>
      </c>
      <c r="CG71" s="81" t="s">
        <v>330</v>
      </c>
      <c r="CH71" s="75" t="s">
        <v>354</v>
      </c>
      <c r="CI71" s="77"/>
      <c r="CJ71" s="81" t="s">
        <v>330</v>
      </c>
      <c r="CK71" s="81" t="s">
        <v>307</v>
      </c>
      <c r="CL71" s="81" t="s">
        <v>330</v>
      </c>
      <c r="CM71" s="81" t="s">
        <v>330</v>
      </c>
      <c r="CN71" s="81" t="s">
        <v>330</v>
      </c>
      <c r="CO71" s="81" t="s">
        <v>307</v>
      </c>
      <c r="CP71" s="81" t="s">
        <v>330</v>
      </c>
      <c r="CQ71" s="81" t="s">
        <v>330</v>
      </c>
      <c r="CR71" s="81" t="s">
        <v>330</v>
      </c>
      <c r="CS71" s="81" t="s">
        <v>330</v>
      </c>
      <c r="CT71" s="81" t="s">
        <v>330</v>
      </c>
      <c r="CU71" s="81"/>
      <c r="CV71" s="75" t="s">
        <v>318</v>
      </c>
      <c r="CW71" s="75" t="s">
        <v>318</v>
      </c>
      <c r="CX71" s="75" t="s">
        <v>318</v>
      </c>
      <c r="CY71" s="75" t="s">
        <v>318</v>
      </c>
      <c r="CZ71" s="75" t="s">
        <v>318</v>
      </c>
      <c r="DA71" s="81"/>
      <c r="DB71" s="75" t="s">
        <v>354</v>
      </c>
      <c r="DC71" s="75" t="s">
        <v>318</v>
      </c>
      <c r="DD71" s="75" t="s">
        <v>318</v>
      </c>
      <c r="DE71" s="75" t="s">
        <v>318</v>
      </c>
      <c r="DF71" s="75" t="s">
        <v>318</v>
      </c>
      <c r="DG71" s="75" t="s">
        <v>354</v>
      </c>
      <c r="DH71" s="75"/>
      <c r="DI71" s="75" t="s">
        <v>354</v>
      </c>
      <c r="DJ71" s="75" t="s">
        <v>318</v>
      </c>
      <c r="DK71" s="75" t="s">
        <v>318</v>
      </c>
      <c r="DL71" s="75" t="s">
        <v>354</v>
      </c>
      <c r="DM71" s="75" t="s">
        <v>354</v>
      </c>
      <c r="DN71" s="75" t="s">
        <v>354</v>
      </c>
      <c r="DO71" s="75"/>
      <c r="DP71" s="75" t="s">
        <v>354</v>
      </c>
      <c r="DQ71" s="75" t="s">
        <v>318</v>
      </c>
      <c r="DR71" s="75" t="s">
        <v>354</v>
      </c>
      <c r="DS71" s="75" t="s">
        <v>318</v>
      </c>
      <c r="DT71" s="75" t="s">
        <v>354</v>
      </c>
      <c r="DU71" s="75"/>
      <c r="DV71" s="75" t="s">
        <v>318</v>
      </c>
      <c r="DW71" s="75" t="s">
        <v>318</v>
      </c>
      <c r="DX71" s="75" t="s">
        <v>354</v>
      </c>
      <c r="DY71" s="75" t="s">
        <v>354</v>
      </c>
      <c r="DZ71" s="75" t="s">
        <v>318</v>
      </c>
      <c r="EA71" s="75" t="s">
        <v>318</v>
      </c>
      <c r="EB71" s="75" t="s">
        <v>354</v>
      </c>
      <c r="EC71" s="75" t="s">
        <v>318</v>
      </c>
      <c r="ED71" s="75" t="s">
        <v>318</v>
      </c>
      <c r="EE71" s="75"/>
      <c r="EF71" s="75" t="s">
        <v>354</v>
      </c>
      <c r="EG71" s="75" t="s">
        <v>318</v>
      </c>
      <c r="EH71" s="75" t="s">
        <v>354</v>
      </c>
      <c r="EI71" s="75" t="s">
        <v>318</v>
      </c>
      <c r="EJ71" s="75" t="s">
        <v>354</v>
      </c>
      <c r="EK71" s="75"/>
      <c r="EL71" s="75" t="s">
        <v>318</v>
      </c>
      <c r="EM71" s="75" t="s">
        <v>318</v>
      </c>
      <c r="EN71" s="75" t="s">
        <v>354</v>
      </c>
      <c r="EO71" s="75" t="s">
        <v>318</v>
      </c>
      <c r="EP71" s="75" t="s">
        <v>318</v>
      </c>
      <c r="EQ71" s="75"/>
      <c r="ER71" s="75" t="s">
        <v>354</v>
      </c>
      <c r="ES71" s="75" t="s">
        <v>318</v>
      </c>
      <c r="ET71" s="75" t="s">
        <v>318</v>
      </c>
      <c r="EU71" s="75" t="s">
        <v>318</v>
      </c>
      <c r="EV71" s="75" t="s">
        <v>354</v>
      </c>
      <c r="EW71" s="75" t="s">
        <v>354</v>
      </c>
      <c r="EX71" s="75" t="s">
        <v>354</v>
      </c>
      <c r="EY71" s="75"/>
      <c r="EZ71" s="75" t="s">
        <v>354</v>
      </c>
      <c r="FA71" s="75" t="s">
        <v>318</v>
      </c>
      <c r="FB71" s="75" t="s">
        <v>318</v>
      </c>
      <c r="FC71" s="75" t="s">
        <v>354</v>
      </c>
      <c r="FD71" s="75" t="s">
        <v>354</v>
      </c>
      <c r="FE71" s="75" t="s">
        <v>354</v>
      </c>
      <c r="FF71" s="75"/>
      <c r="FG71" s="81" t="s">
        <v>330</v>
      </c>
      <c r="FH71" s="81" t="s">
        <v>307</v>
      </c>
      <c r="FI71" s="81" t="s">
        <v>330</v>
      </c>
      <c r="FJ71" s="81" t="s">
        <v>330</v>
      </c>
      <c r="FK71" s="81" t="s">
        <v>330</v>
      </c>
      <c r="FL71" s="75"/>
      <c r="FM71" s="75" t="s">
        <v>318</v>
      </c>
      <c r="FN71" s="75" t="s">
        <v>318</v>
      </c>
      <c r="FO71" s="75" t="s">
        <v>354</v>
      </c>
      <c r="FP71" s="75" t="s">
        <v>354</v>
      </c>
      <c r="FQ71" s="75" t="s">
        <v>318</v>
      </c>
      <c r="FR71" s="75"/>
      <c r="FS71" s="75" t="s">
        <v>354</v>
      </c>
      <c r="FT71" s="75" t="s">
        <v>318</v>
      </c>
      <c r="FU71" s="75" t="s">
        <v>354</v>
      </c>
      <c r="FV71" s="75" t="s">
        <v>318</v>
      </c>
      <c r="FW71" s="75" t="s">
        <v>354</v>
      </c>
      <c r="FX71" s="75" t="s">
        <v>354</v>
      </c>
      <c r="FY71" s="75"/>
      <c r="FZ71" s="75" t="s">
        <v>318</v>
      </c>
      <c r="GA71" s="75"/>
      <c r="GB71" s="75" t="s">
        <v>318</v>
      </c>
      <c r="GC71" s="75" t="s">
        <v>318</v>
      </c>
      <c r="GD71" s="75" t="s">
        <v>354</v>
      </c>
      <c r="GE71" s="75" t="s">
        <v>354</v>
      </c>
      <c r="GF71" s="75" t="s">
        <v>318</v>
      </c>
      <c r="GG71" s="75"/>
      <c r="GH71" s="81" t="s">
        <v>330</v>
      </c>
      <c r="GI71" s="81" t="s">
        <v>307</v>
      </c>
      <c r="GJ71" s="81" t="s">
        <v>330</v>
      </c>
      <c r="GK71" s="81" t="s">
        <v>330</v>
      </c>
      <c r="GL71" s="81" t="s">
        <v>330</v>
      </c>
      <c r="GM71" s="81"/>
      <c r="GO71" s="75" t="s">
        <v>318</v>
      </c>
      <c r="GP71" s="75" t="s">
        <v>318</v>
      </c>
      <c r="GS71" s="75" t="s">
        <v>354</v>
      </c>
      <c r="GT71" s="75" t="s">
        <v>318</v>
      </c>
      <c r="GU71" s="75" t="s">
        <v>354</v>
      </c>
      <c r="GV71" s="75" t="s">
        <v>354</v>
      </c>
      <c r="GW71" s="75" t="s">
        <v>354</v>
      </c>
      <c r="GX71" s="75" t="s">
        <v>318</v>
      </c>
      <c r="GY71" s="75" t="s">
        <v>354</v>
      </c>
      <c r="GZ71" s="75" t="s">
        <v>354</v>
      </c>
      <c r="HA71" s="75" t="s">
        <v>354</v>
      </c>
      <c r="HB71" s="75" t="s">
        <v>354</v>
      </c>
      <c r="HC71" s="75" t="s">
        <v>318</v>
      </c>
      <c r="HD71" s="75" t="s">
        <v>354</v>
      </c>
      <c r="HE71" s="75"/>
      <c r="HF71" s="75" t="s">
        <v>354</v>
      </c>
      <c r="HG71" s="75" t="s">
        <v>318</v>
      </c>
      <c r="HH71" s="75" t="s">
        <v>318</v>
      </c>
      <c r="HI71" s="75" t="s">
        <v>354</v>
      </c>
      <c r="HJ71" s="75" t="s">
        <v>354</v>
      </c>
      <c r="HK71" s="75" t="s">
        <v>318</v>
      </c>
      <c r="HL71" s="75" t="s">
        <v>354</v>
      </c>
      <c r="HM71" s="75"/>
      <c r="HN71" s="75" t="s">
        <v>354</v>
      </c>
      <c r="HO71" s="75" t="s">
        <v>354</v>
      </c>
      <c r="HP71" s="75" t="s">
        <v>318</v>
      </c>
      <c r="HQ71" s="75" t="s">
        <v>318</v>
      </c>
      <c r="HR71" s="75" t="s">
        <v>354</v>
      </c>
      <c r="HS71" s="75" t="s">
        <v>354</v>
      </c>
      <c r="HT71" s="75"/>
      <c r="HU71" s="75" t="s">
        <v>354</v>
      </c>
      <c r="HV71" s="75" t="s">
        <v>318</v>
      </c>
      <c r="HW71" s="75" t="s">
        <v>354</v>
      </c>
      <c r="HX71" s="75" t="s">
        <v>354</v>
      </c>
      <c r="HY71" s="75" t="s">
        <v>354</v>
      </c>
      <c r="HZ71" s="75" t="s">
        <v>354</v>
      </c>
      <c r="IA71" s="75"/>
      <c r="IB71" s="81" t="s">
        <v>330</v>
      </c>
      <c r="IC71" s="81" t="s">
        <v>307</v>
      </c>
      <c r="ID71" s="81" t="s">
        <v>307</v>
      </c>
      <c r="IE71" s="81" t="s">
        <v>307</v>
      </c>
      <c r="IF71" s="81" t="s">
        <v>330</v>
      </c>
      <c r="IG71" s="81" t="s">
        <v>330</v>
      </c>
      <c r="IH71" s="81"/>
      <c r="II71" s="75" t="s">
        <v>318</v>
      </c>
      <c r="IJ71" s="75" t="s">
        <v>318</v>
      </c>
      <c r="IK71" s="75" t="s">
        <v>318</v>
      </c>
      <c r="IL71" s="75" t="s">
        <v>318</v>
      </c>
      <c r="IM71" s="75" t="s">
        <v>318</v>
      </c>
      <c r="IN71" s="81"/>
      <c r="IP71" s="75" t="s">
        <v>354</v>
      </c>
      <c r="IS71" s="75" t="s">
        <v>354</v>
      </c>
      <c r="IT71" s="75" t="s">
        <v>318</v>
      </c>
      <c r="IW71" s="75" t="s">
        <v>354</v>
      </c>
      <c r="IX71" s="75" t="s">
        <v>354</v>
      </c>
      <c r="IY71" s="75" t="s">
        <v>318</v>
      </c>
      <c r="IZ71" s="75" t="s">
        <v>354</v>
      </c>
      <c r="JA71" s="75" t="s">
        <v>354</v>
      </c>
      <c r="JC71" s="81" t="s">
        <v>330</v>
      </c>
      <c r="JD71" s="81" t="s">
        <v>354</v>
      </c>
      <c r="JE71" s="81" t="s">
        <v>330</v>
      </c>
      <c r="JF71" s="81" t="s">
        <v>307</v>
      </c>
      <c r="JG71" s="81" t="s">
        <v>307</v>
      </c>
      <c r="JH71" s="81" t="s">
        <v>307</v>
      </c>
      <c r="JI71" s="81" t="s">
        <v>307</v>
      </c>
      <c r="JJ71" s="81" t="s">
        <v>330</v>
      </c>
      <c r="JK71" s="81" t="s">
        <v>330</v>
      </c>
      <c r="JL71" s="81"/>
      <c r="JM71" s="75" t="s">
        <v>354</v>
      </c>
      <c r="JN71" s="75" t="s">
        <v>318</v>
      </c>
      <c r="JO71" s="75" t="s">
        <v>354</v>
      </c>
      <c r="JP71" s="81"/>
      <c r="JQ71" s="75" t="s">
        <v>354</v>
      </c>
      <c r="JR71" s="75" t="s">
        <v>318</v>
      </c>
      <c r="JS71" s="75" t="s">
        <v>318</v>
      </c>
      <c r="JT71" s="75" t="s">
        <v>318</v>
      </c>
      <c r="JU71" s="75" t="s">
        <v>354</v>
      </c>
      <c r="JV71" s="75" t="s">
        <v>354</v>
      </c>
    </row>
    <row r="72" spans="1:282" x14ac:dyDescent="0.15">
      <c r="A72" s="104" t="s">
        <v>598</v>
      </c>
      <c r="B72" s="6" t="s">
        <v>590</v>
      </c>
      <c r="C72" s="6">
        <v>100000</v>
      </c>
      <c r="D72" s="6">
        <v>2</v>
      </c>
      <c r="E72" s="6">
        <v>7</v>
      </c>
      <c r="F72" s="6">
        <v>3</v>
      </c>
      <c r="G72" s="6" t="s">
        <v>59</v>
      </c>
      <c r="H72" s="6" t="s">
        <v>37</v>
      </c>
      <c r="I72" s="6" t="s">
        <v>46</v>
      </c>
      <c r="J72" s="21" t="s">
        <v>70</v>
      </c>
      <c r="K72" s="21">
        <v>1</v>
      </c>
      <c r="L72" s="21">
        <v>1</v>
      </c>
      <c r="M72" s="21">
        <v>2</v>
      </c>
      <c r="N72" s="21">
        <v>2</v>
      </c>
      <c r="O72" s="21">
        <v>0</v>
      </c>
      <c r="P72" s="23" t="str">
        <f>IF(TeamT[[#This Row],[General]]+TeamT[[#This Row],[Agility]]+TeamT[[#This Row],[Strength]]+TeamT[[#This Row],[Passing]]+TeamT[[#This Row],[Mutation]]&gt;0,IF(TeamT[[#This Row],[General]]=1,"G","")&amp;IF(TeamT[[#This Row],[Agility]]=1,"A","")&amp;IF(TeamT[[#This Row],[Strength]]=1,"S","")&amp;IF(TeamT[[#This Row],[Passing]]=1,"P","")&amp;IF(TeamT[[#This Row],[Mutation]]=1,"M",""),"Star")</f>
        <v>GA</v>
      </c>
      <c r="Q72" s="23" t="str">
        <f>IF(TeamT[[#This Row],[General]]=2,"G","")&amp;IF(TeamT[[#This Row],[Agility]]=2,"A","")&amp;IF(TeamT[[#This Row],[Strength]]=2,"S","")&amp;IF(TeamT[[#This Row],[Passing]]=2,"P","")&amp;IF(TeamT[[#This Row],[Mutation]]=2,"M","")</f>
        <v>SP</v>
      </c>
      <c r="R72" s="212"/>
      <c r="S72" s="21">
        <v>2</v>
      </c>
      <c r="T72" s="21">
        <v>4</v>
      </c>
      <c r="U72" s="21">
        <v>9</v>
      </c>
      <c r="AA72" s="76" t="e">
        <f>HLOOKUP(Roster!$E$5,Team!$BL$2:$MK$128,71,FALSE)</f>
        <v>#N/A</v>
      </c>
      <c r="AB72" s="76" t="e">
        <f>HLOOKUP(Roster!$E$6,Team!$BL$2:$MK$128,71,FALSE)</f>
        <v>#N/A</v>
      </c>
      <c r="AC72" s="76" t="e">
        <f>HLOOKUP(Roster!$E$7,Team!$BL$2:$MK$128,71,FALSE)</f>
        <v>#N/A</v>
      </c>
      <c r="AD72" s="76" t="e">
        <f>HLOOKUP(Roster!$E$8,Team!$BL$2:$MK$128,71,FALSE)</f>
        <v>#N/A</v>
      </c>
      <c r="AE72" s="76" t="e">
        <f>HLOOKUP(Roster!$E$9,Team!$BL$2:$MK$128,71,FALSE)</f>
        <v>#N/A</v>
      </c>
      <c r="AF72" s="76" t="e">
        <f>HLOOKUP(Roster!$E$10,Team!$BL$2:$MK$128,71,FALSE)</f>
        <v>#N/A</v>
      </c>
      <c r="AG72" s="76" t="e">
        <f>HLOOKUP(Roster!$E$11,Team!$BL$2:$MK$128,71,FALSE)</f>
        <v>#N/A</v>
      </c>
      <c r="AH72" s="76" t="e">
        <f>HLOOKUP(Roster!$E$12,Team!$BL$2:$MK$128,71,FALSE)</f>
        <v>#N/A</v>
      </c>
      <c r="AI72" s="76" t="e">
        <f>HLOOKUP(Roster!$E$13,Team!$BL$2:$MK$128,71,FALSE)</f>
        <v>#N/A</v>
      </c>
      <c r="AJ72" s="76" t="e">
        <f>HLOOKUP(Roster!$E$14,Team!$BL$2:$MK$128,71,FALSE)</f>
        <v>#N/A</v>
      </c>
      <c r="AK72" s="76" t="e">
        <f>HLOOKUP(Roster!$E$15,Team!$BL$2:$MK$128,71,FALSE)</f>
        <v>#N/A</v>
      </c>
      <c r="AL72" s="76" t="e">
        <f>HLOOKUP(Roster!$E$16,Team!$BL$2:$MK$128,71,FALSE)</f>
        <v>#N/A</v>
      </c>
      <c r="AM72" s="76" t="e">
        <f>HLOOKUP(Roster!$E$17,Team!$BL$2:$MK$128,71,FALSE)</f>
        <v>#N/A</v>
      </c>
      <c r="AN72" s="76" t="e">
        <f>HLOOKUP(Roster!$E$18,Team!$BL$2:$MK$128,71,FALSE)</f>
        <v>#N/A</v>
      </c>
      <c r="AO72" s="76" t="e">
        <f>HLOOKUP(Roster!$E$19,Team!$BL$2:$MK$128,71,FALSE)</f>
        <v>#N/A</v>
      </c>
      <c r="AP72" s="76" t="e">
        <f>HLOOKUP(Roster!$E$20,Team!$BL$2:$MK$128,71,FALSE)</f>
        <v>#N/A</v>
      </c>
      <c r="AR72" s="108">
        <f t="shared" si="17"/>
        <v>0</v>
      </c>
      <c r="AS72" s="108">
        <f t="shared" si="18"/>
        <v>0</v>
      </c>
      <c r="AT72" s="108">
        <f t="shared" si="19"/>
        <v>0</v>
      </c>
      <c r="AU72" s="108">
        <f t="shared" si="20"/>
        <v>0</v>
      </c>
      <c r="AV72" s="108">
        <f t="shared" si="21"/>
        <v>0</v>
      </c>
      <c r="AW72" s="108">
        <f t="shared" si="22"/>
        <v>0</v>
      </c>
      <c r="AX72" s="108">
        <f t="shared" si="23"/>
        <v>0</v>
      </c>
      <c r="AY72" s="108">
        <f t="shared" si="24"/>
        <v>0</v>
      </c>
      <c r="AZ72" s="108">
        <f t="shared" si="25"/>
        <v>0</v>
      </c>
      <c r="BA72" s="108">
        <f t="shared" si="26"/>
        <v>0</v>
      </c>
      <c r="BB72" s="108">
        <f t="shared" si="27"/>
        <v>0</v>
      </c>
      <c r="BC72" s="108">
        <f t="shared" si="28"/>
        <v>0</v>
      </c>
      <c r="BD72" s="108">
        <f t="shared" si="29"/>
        <v>0</v>
      </c>
      <c r="BE72" s="108">
        <f t="shared" si="30"/>
        <v>0</v>
      </c>
      <c r="BF72" s="108">
        <f t="shared" si="31"/>
        <v>0</v>
      </c>
      <c r="BG72" s="108">
        <f t="shared" si="32"/>
        <v>0</v>
      </c>
      <c r="BL72" s="75" t="s">
        <v>355</v>
      </c>
      <c r="BM72" s="75" t="s">
        <v>319</v>
      </c>
      <c r="BN72" s="75" t="s">
        <v>355</v>
      </c>
      <c r="BO72" s="75" t="s">
        <v>355</v>
      </c>
      <c r="BP72" s="75" t="s">
        <v>355</v>
      </c>
      <c r="BQ72" s="75"/>
      <c r="BR72" s="75" t="s">
        <v>319</v>
      </c>
      <c r="BS72" s="75" t="s">
        <v>319</v>
      </c>
      <c r="BT72" s="75" t="s">
        <v>319</v>
      </c>
      <c r="BU72" s="75" t="s">
        <v>319</v>
      </c>
      <c r="BV72" s="75"/>
      <c r="BW72" s="81" t="s">
        <v>308</v>
      </c>
      <c r="BX72" s="81" t="s">
        <v>331</v>
      </c>
      <c r="BY72" s="81" t="s">
        <v>331</v>
      </c>
      <c r="BZ72" s="81" t="s">
        <v>331</v>
      </c>
      <c r="CA72" s="81" t="s">
        <v>331</v>
      </c>
      <c r="CB72" s="81" t="s">
        <v>308</v>
      </c>
      <c r="CC72" s="77"/>
      <c r="CD72" s="75" t="s">
        <v>355</v>
      </c>
      <c r="CE72" s="81" t="s">
        <v>331</v>
      </c>
      <c r="CF72" s="75" t="s">
        <v>355</v>
      </c>
      <c r="CG72" s="81" t="s">
        <v>331</v>
      </c>
      <c r="CH72" s="75" t="s">
        <v>355</v>
      </c>
      <c r="CI72" s="77"/>
      <c r="CJ72" s="81" t="s">
        <v>331</v>
      </c>
      <c r="CK72" s="81" t="s">
        <v>308</v>
      </c>
      <c r="CL72" s="81" t="s">
        <v>331</v>
      </c>
      <c r="CM72" s="81" t="s">
        <v>331</v>
      </c>
      <c r="CN72" s="81" t="s">
        <v>331</v>
      </c>
      <c r="CO72" s="81" t="s">
        <v>308</v>
      </c>
      <c r="CP72" s="81" t="s">
        <v>331</v>
      </c>
      <c r="CQ72" s="81" t="s">
        <v>331</v>
      </c>
      <c r="CR72" s="81" t="s">
        <v>331</v>
      </c>
      <c r="CS72" s="81" t="s">
        <v>331</v>
      </c>
      <c r="CT72" s="81" t="s">
        <v>331</v>
      </c>
      <c r="CU72" s="81"/>
      <c r="CV72" s="75" t="s">
        <v>319</v>
      </c>
      <c r="CW72" s="75" t="s">
        <v>319</v>
      </c>
      <c r="CX72" s="75" t="s">
        <v>319</v>
      </c>
      <c r="CY72" s="75" t="s">
        <v>319</v>
      </c>
      <c r="CZ72" s="75" t="s">
        <v>319</v>
      </c>
      <c r="DA72" s="81"/>
      <c r="DB72" s="75" t="s">
        <v>355</v>
      </c>
      <c r="DC72" s="75" t="s">
        <v>319</v>
      </c>
      <c r="DD72" s="75" t="s">
        <v>319</v>
      </c>
      <c r="DE72" s="75" t="s">
        <v>319</v>
      </c>
      <c r="DF72" s="75" t="s">
        <v>319</v>
      </c>
      <c r="DG72" s="75" t="s">
        <v>355</v>
      </c>
      <c r="DH72" s="75"/>
      <c r="DI72" s="75" t="s">
        <v>355</v>
      </c>
      <c r="DJ72" s="75" t="s">
        <v>319</v>
      </c>
      <c r="DK72" s="75" t="s">
        <v>319</v>
      </c>
      <c r="DL72" s="75" t="s">
        <v>355</v>
      </c>
      <c r="DM72" s="75" t="s">
        <v>355</v>
      </c>
      <c r="DN72" s="75" t="s">
        <v>355</v>
      </c>
      <c r="DO72" s="75"/>
      <c r="DP72" s="75" t="s">
        <v>355</v>
      </c>
      <c r="DQ72" s="75" t="s">
        <v>319</v>
      </c>
      <c r="DR72" s="75" t="s">
        <v>355</v>
      </c>
      <c r="DS72" s="75" t="s">
        <v>319</v>
      </c>
      <c r="DT72" s="75" t="s">
        <v>355</v>
      </c>
      <c r="DU72" s="75"/>
      <c r="DV72" s="75" t="s">
        <v>319</v>
      </c>
      <c r="DW72" s="75" t="s">
        <v>319</v>
      </c>
      <c r="DX72" s="75" t="s">
        <v>355</v>
      </c>
      <c r="DY72" s="75" t="s">
        <v>355</v>
      </c>
      <c r="DZ72" s="75" t="s">
        <v>319</v>
      </c>
      <c r="EA72" s="75" t="s">
        <v>319</v>
      </c>
      <c r="EB72" s="75" t="s">
        <v>355</v>
      </c>
      <c r="EC72" s="75" t="s">
        <v>319</v>
      </c>
      <c r="ED72" s="75" t="s">
        <v>319</v>
      </c>
      <c r="EE72" s="75"/>
      <c r="EF72" s="75" t="s">
        <v>355</v>
      </c>
      <c r="EG72" s="75" t="s">
        <v>319</v>
      </c>
      <c r="EH72" s="75" t="s">
        <v>355</v>
      </c>
      <c r="EI72" s="75" t="s">
        <v>319</v>
      </c>
      <c r="EJ72" s="75" t="s">
        <v>355</v>
      </c>
      <c r="EK72" s="75"/>
      <c r="EL72" s="75" t="s">
        <v>319</v>
      </c>
      <c r="EM72" s="75" t="s">
        <v>319</v>
      </c>
      <c r="EN72" s="75" t="s">
        <v>355</v>
      </c>
      <c r="EO72" s="75" t="s">
        <v>319</v>
      </c>
      <c r="EP72" s="75" t="s">
        <v>319</v>
      </c>
      <c r="EQ72" s="75"/>
      <c r="ER72" s="75" t="s">
        <v>355</v>
      </c>
      <c r="ES72" s="75" t="s">
        <v>319</v>
      </c>
      <c r="ET72" s="75" t="s">
        <v>319</v>
      </c>
      <c r="EU72" s="75" t="s">
        <v>319</v>
      </c>
      <c r="EV72" s="75" t="s">
        <v>355</v>
      </c>
      <c r="EW72" s="75" t="s">
        <v>355</v>
      </c>
      <c r="EX72" s="75" t="s">
        <v>355</v>
      </c>
      <c r="EY72" s="75"/>
      <c r="EZ72" s="75" t="s">
        <v>355</v>
      </c>
      <c r="FA72" s="75" t="s">
        <v>319</v>
      </c>
      <c r="FB72" s="75" t="s">
        <v>319</v>
      </c>
      <c r="FC72" s="75" t="s">
        <v>355</v>
      </c>
      <c r="FD72" s="75" t="s">
        <v>355</v>
      </c>
      <c r="FE72" s="75" t="s">
        <v>355</v>
      </c>
      <c r="FF72" s="75"/>
      <c r="FG72" s="81" t="s">
        <v>331</v>
      </c>
      <c r="FH72" s="81" t="s">
        <v>308</v>
      </c>
      <c r="FI72" s="81" t="s">
        <v>331</v>
      </c>
      <c r="FJ72" s="81" t="s">
        <v>331</v>
      </c>
      <c r="FK72" s="81" t="s">
        <v>331</v>
      </c>
      <c r="FL72" s="75"/>
      <c r="FM72" s="75" t="s">
        <v>319</v>
      </c>
      <c r="FN72" s="75" t="s">
        <v>319</v>
      </c>
      <c r="FO72" s="75" t="s">
        <v>355</v>
      </c>
      <c r="FP72" s="75" t="s">
        <v>355</v>
      </c>
      <c r="FQ72" s="75" t="s">
        <v>319</v>
      </c>
      <c r="FR72" s="75"/>
      <c r="FS72" s="75" t="s">
        <v>355</v>
      </c>
      <c r="FT72" s="75" t="s">
        <v>319</v>
      </c>
      <c r="FU72" s="75" t="s">
        <v>355</v>
      </c>
      <c r="FV72" s="75" t="s">
        <v>319</v>
      </c>
      <c r="FW72" s="75" t="s">
        <v>355</v>
      </c>
      <c r="FX72" s="75" t="s">
        <v>355</v>
      </c>
      <c r="FY72" s="75"/>
      <c r="FZ72" s="75" t="s">
        <v>319</v>
      </c>
      <c r="GA72" s="75"/>
      <c r="GB72" s="75" t="s">
        <v>319</v>
      </c>
      <c r="GC72" s="75" t="s">
        <v>319</v>
      </c>
      <c r="GD72" s="75" t="s">
        <v>355</v>
      </c>
      <c r="GE72" s="75" t="s">
        <v>355</v>
      </c>
      <c r="GF72" s="75" t="s">
        <v>319</v>
      </c>
      <c r="GG72" s="75"/>
      <c r="GH72" s="81" t="s">
        <v>331</v>
      </c>
      <c r="GI72" s="81" t="s">
        <v>308</v>
      </c>
      <c r="GJ72" s="81" t="s">
        <v>331</v>
      </c>
      <c r="GK72" s="81" t="s">
        <v>331</v>
      </c>
      <c r="GL72" s="81" t="s">
        <v>331</v>
      </c>
      <c r="GM72" s="81"/>
      <c r="GO72" s="75" t="s">
        <v>319</v>
      </c>
      <c r="GP72" s="75" t="s">
        <v>319</v>
      </c>
      <c r="GS72" s="75" t="s">
        <v>355</v>
      </c>
      <c r="GT72" s="75" t="s">
        <v>319</v>
      </c>
      <c r="GU72" s="75" t="s">
        <v>355</v>
      </c>
      <c r="GV72" s="75" t="s">
        <v>355</v>
      </c>
      <c r="GW72" s="75" t="s">
        <v>355</v>
      </c>
      <c r="GX72" s="75" t="s">
        <v>319</v>
      </c>
      <c r="GY72" s="75" t="s">
        <v>355</v>
      </c>
      <c r="GZ72" s="75" t="s">
        <v>355</v>
      </c>
      <c r="HA72" s="75" t="s">
        <v>355</v>
      </c>
      <c r="HB72" s="75" t="s">
        <v>355</v>
      </c>
      <c r="HC72" s="75" t="s">
        <v>319</v>
      </c>
      <c r="HD72" s="75" t="s">
        <v>355</v>
      </c>
      <c r="HE72" s="75"/>
      <c r="HF72" s="75" t="s">
        <v>355</v>
      </c>
      <c r="HG72" s="75" t="s">
        <v>319</v>
      </c>
      <c r="HH72" s="75" t="s">
        <v>319</v>
      </c>
      <c r="HI72" s="75" t="s">
        <v>355</v>
      </c>
      <c r="HJ72" s="75" t="s">
        <v>355</v>
      </c>
      <c r="HK72" s="75" t="s">
        <v>319</v>
      </c>
      <c r="HL72" s="75" t="s">
        <v>355</v>
      </c>
      <c r="HM72" s="75"/>
      <c r="HN72" s="75" t="s">
        <v>355</v>
      </c>
      <c r="HO72" s="75" t="s">
        <v>355</v>
      </c>
      <c r="HP72" s="75" t="s">
        <v>319</v>
      </c>
      <c r="HQ72" s="75" t="s">
        <v>319</v>
      </c>
      <c r="HR72" s="75" t="s">
        <v>355</v>
      </c>
      <c r="HS72" s="75" t="s">
        <v>355</v>
      </c>
      <c r="HT72" s="75"/>
      <c r="HU72" s="75" t="s">
        <v>355</v>
      </c>
      <c r="HV72" s="75" t="s">
        <v>319</v>
      </c>
      <c r="HW72" s="75" t="s">
        <v>355</v>
      </c>
      <c r="HX72" s="75" t="s">
        <v>355</v>
      </c>
      <c r="HY72" s="75" t="s">
        <v>355</v>
      </c>
      <c r="HZ72" s="75" t="s">
        <v>355</v>
      </c>
      <c r="IA72" s="75"/>
      <c r="IB72" s="81" t="s">
        <v>331</v>
      </c>
      <c r="IC72" s="81" t="s">
        <v>308</v>
      </c>
      <c r="ID72" s="81" t="s">
        <v>308</v>
      </c>
      <c r="IE72" s="81" t="s">
        <v>308</v>
      </c>
      <c r="IF72" s="81" t="s">
        <v>331</v>
      </c>
      <c r="IG72" s="81" t="s">
        <v>331</v>
      </c>
      <c r="IH72" s="81"/>
      <c r="II72" s="75" t="s">
        <v>319</v>
      </c>
      <c r="IJ72" s="75" t="s">
        <v>319</v>
      </c>
      <c r="IK72" s="75" t="s">
        <v>319</v>
      </c>
      <c r="IL72" s="75" t="s">
        <v>319</v>
      </c>
      <c r="IM72" s="75" t="s">
        <v>319</v>
      </c>
      <c r="IN72" s="81"/>
      <c r="IP72" s="75" t="s">
        <v>355</v>
      </c>
      <c r="IS72" s="75" t="s">
        <v>355</v>
      </c>
      <c r="IT72" s="75" t="s">
        <v>319</v>
      </c>
      <c r="IW72" s="75" t="s">
        <v>355</v>
      </c>
      <c r="IX72" s="75" t="s">
        <v>355</v>
      </c>
      <c r="IY72" s="75" t="s">
        <v>319</v>
      </c>
      <c r="IZ72" s="75" t="s">
        <v>355</v>
      </c>
      <c r="JA72" s="75" t="s">
        <v>355</v>
      </c>
      <c r="JC72" s="81" t="s">
        <v>331</v>
      </c>
      <c r="JD72" s="81" t="s">
        <v>355</v>
      </c>
      <c r="JE72" s="81" t="s">
        <v>331</v>
      </c>
      <c r="JF72" s="81" t="s">
        <v>308</v>
      </c>
      <c r="JG72" s="81" t="s">
        <v>308</v>
      </c>
      <c r="JH72" s="81" t="s">
        <v>308</v>
      </c>
      <c r="JI72" s="81" t="s">
        <v>308</v>
      </c>
      <c r="JJ72" s="81" t="s">
        <v>331</v>
      </c>
      <c r="JK72" s="81" t="s">
        <v>331</v>
      </c>
      <c r="JL72" s="81"/>
      <c r="JM72" s="75" t="s">
        <v>355</v>
      </c>
      <c r="JN72" s="75" t="s">
        <v>319</v>
      </c>
      <c r="JO72" s="75" t="s">
        <v>355</v>
      </c>
      <c r="JP72" s="81"/>
      <c r="JQ72" s="75" t="s">
        <v>355</v>
      </c>
      <c r="JR72" s="75" t="s">
        <v>319</v>
      </c>
      <c r="JS72" s="75" t="s">
        <v>319</v>
      </c>
      <c r="JT72" s="75" t="s">
        <v>319</v>
      </c>
      <c r="JU72" s="75" t="s">
        <v>355</v>
      </c>
      <c r="JV72" s="75" t="s">
        <v>355</v>
      </c>
    </row>
    <row r="73" spans="1:282" x14ac:dyDescent="0.15">
      <c r="A73" s="104" t="s">
        <v>726</v>
      </c>
      <c r="B73" s="6" t="s">
        <v>590</v>
      </c>
      <c r="C73" s="6">
        <v>70000</v>
      </c>
      <c r="D73" s="6">
        <v>11</v>
      </c>
      <c r="E73" s="6">
        <v>6</v>
      </c>
      <c r="F73" s="6">
        <v>3</v>
      </c>
      <c r="G73" s="6" t="s">
        <v>59</v>
      </c>
      <c r="H73" s="6" t="s">
        <v>37</v>
      </c>
      <c r="I73" s="6" t="s">
        <v>46</v>
      </c>
      <c r="J73" s="21" t="s">
        <v>65</v>
      </c>
      <c r="K73" s="21">
        <v>1</v>
      </c>
      <c r="L73" s="21">
        <v>1</v>
      </c>
      <c r="M73" s="21">
        <v>2</v>
      </c>
      <c r="N73" s="21">
        <v>2</v>
      </c>
      <c r="O73" s="21">
        <v>0</v>
      </c>
      <c r="P73" s="23" t="str">
        <f>IF(TeamT[[#This Row],[General]]+TeamT[[#This Row],[Agility]]+TeamT[[#This Row],[Strength]]+TeamT[[#This Row],[Passing]]+TeamT[[#This Row],[Mutation]]&gt;0,IF(TeamT[[#This Row],[General]]=1,"G","")&amp;IF(TeamT[[#This Row],[Agility]]=1,"A","")&amp;IF(TeamT[[#This Row],[Strength]]=1,"S","")&amp;IF(TeamT[[#This Row],[Passing]]=1,"P","")&amp;IF(TeamT[[#This Row],[Mutation]]=1,"M",""),"Star")</f>
        <v>GA</v>
      </c>
      <c r="Q73" s="23" t="str">
        <f>IF(TeamT[[#This Row],[General]]=2,"G","")&amp;IF(TeamT[[#This Row],[Agility]]=2,"A","")&amp;IF(TeamT[[#This Row],[Strength]]=2,"S","")&amp;IF(TeamT[[#This Row],[Passing]]=2,"P","")&amp;IF(TeamT[[#This Row],[Mutation]]=2,"M","")</f>
        <v>SP</v>
      </c>
      <c r="R73" s="212"/>
      <c r="S73" s="21">
        <v>2</v>
      </c>
      <c r="T73" s="21">
        <v>4</v>
      </c>
      <c r="U73" s="21">
        <v>9</v>
      </c>
      <c r="AA73" s="76" t="e">
        <f>HLOOKUP(Roster!$E$5,Team!$BL$2:$MK$128,72,FALSE)</f>
        <v>#N/A</v>
      </c>
      <c r="AB73" s="76" t="e">
        <f>HLOOKUP(Roster!$E$6,Team!$BL$2:$MK$128,72,FALSE)</f>
        <v>#N/A</v>
      </c>
      <c r="AC73" s="76" t="e">
        <f>HLOOKUP(Roster!$E$7,Team!$BL$2:$MK$128,72,FALSE)</f>
        <v>#N/A</v>
      </c>
      <c r="AD73" s="76" t="e">
        <f>HLOOKUP(Roster!$E$8,Team!$BL$2:$MK$128,72,FALSE)</f>
        <v>#N/A</v>
      </c>
      <c r="AE73" s="76" t="e">
        <f>HLOOKUP(Roster!$E$9,Team!$BL$2:$MK$128,72,FALSE)</f>
        <v>#N/A</v>
      </c>
      <c r="AF73" s="76" t="e">
        <f>HLOOKUP(Roster!$E$10,Team!$BL$2:$MK$128,72,FALSE)</f>
        <v>#N/A</v>
      </c>
      <c r="AG73" s="76" t="e">
        <f>HLOOKUP(Roster!$E$11,Team!$BL$2:$MK$128,72,FALSE)</f>
        <v>#N/A</v>
      </c>
      <c r="AH73" s="76" t="e">
        <f>HLOOKUP(Roster!$E$12,Team!$BL$2:$MK$128,72,FALSE)</f>
        <v>#N/A</v>
      </c>
      <c r="AI73" s="76" t="e">
        <f>HLOOKUP(Roster!$E$13,Team!$BL$2:$MK$128,72,FALSE)</f>
        <v>#N/A</v>
      </c>
      <c r="AJ73" s="76" t="e">
        <f>HLOOKUP(Roster!$E$14,Team!$BL$2:$MK$128,72,FALSE)</f>
        <v>#N/A</v>
      </c>
      <c r="AK73" s="76" t="e">
        <f>HLOOKUP(Roster!$E$15,Team!$BL$2:$MK$128,72,FALSE)</f>
        <v>#N/A</v>
      </c>
      <c r="AL73" s="76" t="e">
        <f>HLOOKUP(Roster!$E$16,Team!$BL$2:$MK$128,72,FALSE)</f>
        <v>#N/A</v>
      </c>
      <c r="AM73" s="76" t="e">
        <f>HLOOKUP(Roster!$E$17,Team!$BL$2:$MK$128,72,FALSE)</f>
        <v>#N/A</v>
      </c>
      <c r="AN73" s="76" t="e">
        <f>HLOOKUP(Roster!$E$18,Team!$BL$2:$MK$128,72,FALSE)</f>
        <v>#N/A</v>
      </c>
      <c r="AO73" s="76" t="e">
        <f>HLOOKUP(Roster!$E$19,Team!$BL$2:$MK$128,72,FALSE)</f>
        <v>#N/A</v>
      </c>
      <c r="AP73" s="76" t="e">
        <f>HLOOKUP(Roster!$E$20,Team!$BL$2:$MK$128,72,FALSE)</f>
        <v>#N/A</v>
      </c>
      <c r="AR73" s="108">
        <f t="shared" si="17"/>
        <v>0</v>
      </c>
      <c r="AS73" s="108">
        <f t="shared" si="18"/>
        <v>0</v>
      </c>
      <c r="AT73" s="108">
        <f t="shared" si="19"/>
        <v>0</v>
      </c>
      <c r="AU73" s="108">
        <f t="shared" si="20"/>
        <v>0</v>
      </c>
      <c r="AV73" s="108">
        <f t="shared" si="21"/>
        <v>0</v>
      </c>
      <c r="AW73" s="108">
        <f t="shared" si="22"/>
        <v>0</v>
      </c>
      <c r="AX73" s="108">
        <f t="shared" si="23"/>
        <v>0</v>
      </c>
      <c r="AY73" s="108">
        <f t="shared" si="24"/>
        <v>0</v>
      </c>
      <c r="AZ73" s="108">
        <f t="shared" si="25"/>
        <v>0</v>
      </c>
      <c r="BA73" s="108">
        <f t="shared" si="26"/>
        <v>0</v>
      </c>
      <c r="BB73" s="108">
        <f t="shared" si="27"/>
        <v>0</v>
      </c>
      <c r="BC73" s="108">
        <f t="shared" si="28"/>
        <v>0</v>
      </c>
      <c r="BD73" s="108">
        <f t="shared" si="29"/>
        <v>0</v>
      </c>
      <c r="BE73" s="108">
        <f t="shared" si="30"/>
        <v>0</v>
      </c>
      <c r="BF73" s="108">
        <f t="shared" si="31"/>
        <v>0</v>
      </c>
      <c r="BG73" s="108">
        <f t="shared" si="32"/>
        <v>0</v>
      </c>
      <c r="BL73" s="75" t="s">
        <v>356</v>
      </c>
      <c r="BM73" s="75" t="s">
        <v>320</v>
      </c>
      <c r="BN73" s="75" t="s">
        <v>356</v>
      </c>
      <c r="BO73" s="75" t="s">
        <v>356</v>
      </c>
      <c r="BP73" s="75" t="s">
        <v>356</v>
      </c>
      <c r="BQ73" s="75"/>
      <c r="BR73" s="75" t="s">
        <v>320</v>
      </c>
      <c r="BS73" s="75" t="s">
        <v>320</v>
      </c>
      <c r="BT73" s="75" t="s">
        <v>320</v>
      </c>
      <c r="BU73" s="75" t="s">
        <v>320</v>
      </c>
      <c r="BV73" s="75"/>
      <c r="BW73" s="81" t="s">
        <v>309</v>
      </c>
      <c r="BX73" s="81" t="s">
        <v>332</v>
      </c>
      <c r="BY73" s="81" t="s">
        <v>332</v>
      </c>
      <c r="BZ73" s="81" t="s">
        <v>332</v>
      </c>
      <c r="CA73" s="81" t="s">
        <v>332</v>
      </c>
      <c r="CB73" s="81" t="s">
        <v>309</v>
      </c>
      <c r="CC73" s="77"/>
      <c r="CD73" s="75" t="s">
        <v>356</v>
      </c>
      <c r="CE73" s="81" t="s">
        <v>332</v>
      </c>
      <c r="CF73" s="75" t="s">
        <v>356</v>
      </c>
      <c r="CG73" s="81" t="s">
        <v>332</v>
      </c>
      <c r="CH73" s="75" t="s">
        <v>356</v>
      </c>
      <c r="CI73" s="77"/>
      <c r="CJ73" s="81" t="s">
        <v>332</v>
      </c>
      <c r="CK73" s="81" t="s">
        <v>309</v>
      </c>
      <c r="CL73" s="81" t="s">
        <v>332</v>
      </c>
      <c r="CM73" s="81" t="s">
        <v>332</v>
      </c>
      <c r="CN73" s="81" t="s">
        <v>332</v>
      </c>
      <c r="CO73" s="81" t="s">
        <v>309</v>
      </c>
      <c r="CP73" s="81" t="s">
        <v>332</v>
      </c>
      <c r="CQ73" s="81" t="s">
        <v>332</v>
      </c>
      <c r="CR73" s="81" t="s">
        <v>332</v>
      </c>
      <c r="CS73" s="81" t="s">
        <v>332</v>
      </c>
      <c r="CT73" s="81" t="s">
        <v>332</v>
      </c>
      <c r="CU73" s="81"/>
      <c r="CV73" s="75" t="s">
        <v>320</v>
      </c>
      <c r="CW73" s="75" t="s">
        <v>320</v>
      </c>
      <c r="CX73" s="75" t="s">
        <v>320</v>
      </c>
      <c r="CY73" s="75" t="s">
        <v>320</v>
      </c>
      <c r="CZ73" s="75" t="s">
        <v>320</v>
      </c>
      <c r="DA73" s="81"/>
      <c r="DB73" s="75" t="s">
        <v>356</v>
      </c>
      <c r="DC73" s="75" t="s">
        <v>320</v>
      </c>
      <c r="DD73" s="75" t="s">
        <v>320</v>
      </c>
      <c r="DE73" s="75" t="s">
        <v>320</v>
      </c>
      <c r="DF73" s="75" t="s">
        <v>320</v>
      </c>
      <c r="DG73" s="75" t="s">
        <v>356</v>
      </c>
      <c r="DH73" s="75"/>
      <c r="DI73" s="75" t="s">
        <v>356</v>
      </c>
      <c r="DJ73" s="75" t="s">
        <v>320</v>
      </c>
      <c r="DK73" s="75" t="s">
        <v>320</v>
      </c>
      <c r="DL73" s="75" t="s">
        <v>356</v>
      </c>
      <c r="DM73" s="75" t="s">
        <v>356</v>
      </c>
      <c r="DN73" s="75" t="s">
        <v>356</v>
      </c>
      <c r="DO73" s="75"/>
      <c r="DP73" s="75" t="s">
        <v>356</v>
      </c>
      <c r="DQ73" s="75" t="s">
        <v>320</v>
      </c>
      <c r="DR73" s="75" t="s">
        <v>356</v>
      </c>
      <c r="DS73" s="75" t="s">
        <v>320</v>
      </c>
      <c r="DT73" s="75" t="s">
        <v>356</v>
      </c>
      <c r="DU73" s="75"/>
      <c r="DV73" s="75" t="s">
        <v>320</v>
      </c>
      <c r="DW73" s="75" t="s">
        <v>320</v>
      </c>
      <c r="DX73" s="75" t="s">
        <v>356</v>
      </c>
      <c r="DY73" s="75" t="s">
        <v>356</v>
      </c>
      <c r="DZ73" s="75" t="s">
        <v>320</v>
      </c>
      <c r="EA73" s="75" t="s">
        <v>320</v>
      </c>
      <c r="EB73" s="75" t="s">
        <v>356</v>
      </c>
      <c r="EC73" s="75" t="s">
        <v>320</v>
      </c>
      <c r="ED73" s="75" t="s">
        <v>320</v>
      </c>
      <c r="EE73" s="75"/>
      <c r="EF73" s="75" t="s">
        <v>356</v>
      </c>
      <c r="EG73" s="75" t="s">
        <v>320</v>
      </c>
      <c r="EH73" s="75" t="s">
        <v>356</v>
      </c>
      <c r="EI73" s="75" t="s">
        <v>320</v>
      </c>
      <c r="EJ73" s="75" t="s">
        <v>356</v>
      </c>
      <c r="EK73" s="75"/>
      <c r="EL73" s="75" t="s">
        <v>320</v>
      </c>
      <c r="EM73" s="75" t="s">
        <v>320</v>
      </c>
      <c r="EN73" s="75" t="s">
        <v>356</v>
      </c>
      <c r="EO73" s="75" t="s">
        <v>320</v>
      </c>
      <c r="EP73" s="75" t="s">
        <v>320</v>
      </c>
      <c r="EQ73" s="75"/>
      <c r="ER73" s="75" t="s">
        <v>356</v>
      </c>
      <c r="ES73" s="75" t="s">
        <v>320</v>
      </c>
      <c r="ET73" s="75" t="s">
        <v>320</v>
      </c>
      <c r="EU73" s="75" t="s">
        <v>320</v>
      </c>
      <c r="EV73" s="75" t="s">
        <v>356</v>
      </c>
      <c r="EW73" s="75" t="s">
        <v>356</v>
      </c>
      <c r="EX73" s="75" t="s">
        <v>356</v>
      </c>
      <c r="EY73" s="75"/>
      <c r="EZ73" s="75" t="s">
        <v>356</v>
      </c>
      <c r="FA73" s="75" t="s">
        <v>320</v>
      </c>
      <c r="FB73" s="75" t="s">
        <v>320</v>
      </c>
      <c r="FC73" s="75" t="s">
        <v>356</v>
      </c>
      <c r="FD73" s="75" t="s">
        <v>356</v>
      </c>
      <c r="FE73" s="75" t="s">
        <v>356</v>
      </c>
      <c r="FF73" s="75"/>
      <c r="FG73" s="81" t="s">
        <v>332</v>
      </c>
      <c r="FH73" s="81" t="s">
        <v>309</v>
      </c>
      <c r="FI73" s="81" t="s">
        <v>332</v>
      </c>
      <c r="FJ73" s="81" t="s">
        <v>332</v>
      </c>
      <c r="FK73" s="81" t="s">
        <v>332</v>
      </c>
      <c r="FL73" s="75"/>
      <c r="FM73" s="75" t="s">
        <v>320</v>
      </c>
      <c r="FN73" s="75" t="s">
        <v>320</v>
      </c>
      <c r="FO73" s="75" t="s">
        <v>356</v>
      </c>
      <c r="FP73" s="75" t="s">
        <v>356</v>
      </c>
      <c r="FQ73" s="75" t="s">
        <v>320</v>
      </c>
      <c r="FR73" s="75"/>
      <c r="FS73" s="75" t="s">
        <v>356</v>
      </c>
      <c r="FT73" s="75" t="s">
        <v>320</v>
      </c>
      <c r="FU73" s="75" t="s">
        <v>356</v>
      </c>
      <c r="FV73" s="75" t="s">
        <v>320</v>
      </c>
      <c r="FW73" s="75" t="s">
        <v>356</v>
      </c>
      <c r="FX73" s="75" t="s">
        <v>356</v>
      </c>
      <c r="FY73" s="75"/>
      <c r="FZ73" s="75" t="s">
        <v>320</v>
      </c>
      <c r="GA73" s="75"/>
      <c r="GB73" s="75" t="s">
        <v>320</v>
      </c>
      <c r="GC73" s="75" t="s">
        <v>320</v>
      </c>
      <c r="GD73" s="75" t="s">
        <v>356</v>
      </c>
      <c r="GE73" s="75" t="s">
        <v>356</v>
      </c>
      <c r="GF73" s="75" t="s">
        <v>320</v>
      </c>
      <c r="GG73" s="75"/>
      <c r="GH73" s="81" t="s">
        <v>332</v>
      </c>
      <c r="GI73" s="81" t="s">
        <v>309</v>
      </c>
      <c r="GJ73" s="81" t="s">
        <v>332</v>
      </c>
      <c r="GK73" s="81" t="s">
        <v>332</v>
      </c>
      <c r="GL73" s="81" t="s">
        <v>332</v>
      </c>
      <c r="GM73" s="81"/>
      <c r="GO73" s="75" t="s">
        <v>320</v>
      </c>
      <c r="GP73" s="75" t="s">
        <v>320</v>
      </c>
      <c r="GS73" s="75" t="s">
        <v>356</v>
      </c>
      <c r="GT73" s="75" t="s">
        <v>320</v>
      </c>
      <c r="GU73" s="75" t="s">
        <v>356</v>
      </c>
      <c r="GV73" s="75" t="s">
        <v>356</v>
      </c>
      <c r="GW73" s="75" t="s">
        <v>356</v>
      </c>
      <c r="GX73" s="75" t="s">
        <v>320</v>
      </c>
      <c r="GY73" s="75" t="s">
        <v>356</v>
      </c>
      <c r="GZ73" s="75" t="s">
        <v>356</v>
      </c>
      <c r="HA73" s="75" t="s">
        <v>356</v>
      </c>
      <c r="HB73" s="75" t="s">
        <v>356</v>
      </c>
      <c r="HC73" s="75" t="s">
        <v>320</v>
      </c>
      <c r="HD73" s="75" t="s">
        <v>356</v>
      </c>
      <c r="HE73" s="75"/>
      <c r="HF73" s="75" t="s">
        <v>356</v>
      </c>
      <c r="HG73" s="75" t="s">
        <v>320</v>
      </c>
      <c r="HH73" s="75" t="s">
        <v>320</v>
      </c>
      <c r="HI73" s="75" t="s">
        <v>356</v>
      </c>
      <c r="HJ73" s="75" t="s">
        <v>356</v>
      </c>
      <c r="HK73" s="75" t="s">
        <v>320</v>
      </c>
      <c r="HL73" s="75" t="s">
        <v>356</v>
      </c>
      <c r="HM73" s="75"/>
      <c r="HN73" s="75" t="s">
        <v>356</v>
      </c>
      <c r="HO73" s="75" t="s">
        <v>356</v>
      </c>
      <c r="HP73" s="75" t="s">
        <v>320</v>
      </c>
      <c r="HQ73" s="75" t="s">
        <v>320</v>
      </c>
      <c r="HR73" s="75" t="s">
        <v>356</v>
      </c>
      <c r="HS73" s="75" t="s">
        <v>356</v>
      </c>
      <c r="HT73" s="75"/>
      <c r="HU73" s="75" t="s">
        <v>356</v>
      </c>
      <c r="HV73" s="75" t="s">
        <v>320</v>
      </c>
      <c r="HW73" s="75" t="s">
        <v>356</v>
      </c>
      <c r="HX73" s="75" t="s">
        <v>356</v>
      </c>
      <c r="HY73" s="75" t="s">
        <v>356</v>
      </c>
      <c r="HZ73" s="75" t="s">
        <v>356</v>
      </c>
      <c r="IA73" s="75"/>
      <c r="IB73" s="81" t="s">
        <v>332</v>
      </c>
      <c r="IC73" s="81" t="s">
        <v>309</v>
      </c>
      <c r="ID73" s="81" t="s">
        <v>309</v>
      </c>
      <c r="IE73" s="81" t="s">
        <v>309</v>
      </c>
      <c r="IF73" s="81" t="s">
        <v>332</v>
      </c>
      <c r="IG73" s="81" t="s">
        <v>332</v>
      </c>
      <c r="IH73" s="81"/>
      <c r="II73" s="75" t="s">
        <v>320</v>
      </c>
      <c r="IJ73" s="75" t="s">
        <v>320</v>
      </c>
      <c r="IK73" s="75" t="s">
        <v>320</v>
      </c>
      <c r="IL73" s="75" t="s">
        <v>320</v>
      </c>
      <c r="IM73" s="75" t="s">
        <v>320</v>
      </c>
      <c r="IN73" s="81"/>
      <c r="IP73" s="75" t="s">
        <v>356</v>
      </c>
      <c r="IS73" s="75" t="s">
        <v>356</v>
      </c>
      <c r="IT73" s="75" t="s">
        <v>320</v>
      </c>
      <c r="IW73" s="75" t="s">
        <v>356</v>
      </c>
      <c r="IX73" s="75" t="s">
        <v>356</v>
      </c>
      <c r="IY73" s="75" t="s">
        <v>320</v>
      </c>
      <c r="IZ73" s="75" t="s">
        <v>356</v>
      </c>
      <c r="JA73" s="75" t="s">
        <v>356</v>
      </c>
      <c r="JC73" s="81" t="s">
        <v>332</v>
      </c>
      <c r="JD73" s="81" t="s">
        <v>356</v>
      </c>
      <c r="JE73" s="81" t="s">
        <v>332</v>
      </c>
      <c r="JF73" s="81" t="s">
        <v>309</v>
      </c>
      <c r="JG73" s="81" t="s">
        <v>309</v>
      </c>
      <c r="JH73" s="81" t="s">
        <v>309</v>
      </c>
      <c r="JI73" s="81" t="s">
        <v>309</v>
      </c>
      <c r="JJ73" s="81" t="s">
        <v>332</v>
      </c>
      <c r="JK73" s="81" t="s">
        <v>332</v>
      </c>
      <c r="JL73" s="81"/>
      <c r="JM73" s="75" t="s">
        <v>356</v>
      </c>
      <c r="JN73" s="75" t="s">
        <v>320</v>
      </c>
      <c r="JO73" s="75" t="s">
        <v>356</v>
      </c>
      <c r="JP73" s="81"/>
      <c r="JQ73" s="75" t="s">
        <v>356</v>
      </c>
      <c r="JR73" s="75" t="s">
        <v>320</v>
      </c>
      <c r="JS73" s="75" t="s">
        <v>320</v>
      </c>
      <c r="JT73" s="75" t="s">
        <v>320</v>
      </c>
      <c r="JU73" s="75" t="s">
        <v>356</v>
      </c>
      <c r="JV73" s="75" t="s">
        <v>356</v>
      </c>
    </row>
    <row r="74" spans="1:282" x14ac:dyDescent="0.15">
      <c r="A74" s="214" t="s">
        <v>108</v>
      </c>
      <c r="B74" s="6" t="s">
        <v>21</v>
      </c>
      <c r="C74" s="6">
        <v>50000</v>
      </c>
      <c r="D74" s="6">
        <v>16</v>
      </c>
      <c r="E74" s="6">
        <v>6</v>
      </c>
      <c r="F74" s="6">
        <v>3</v>
      </c>
      <c r="G74" s="6" t="s">
        <v>36</v>
      </c>
      <c r="H74" s="6" t="s">
        <v>37</v>
      </c>
      <c r="I74" s="6" t="s">
        <v>46</v>
      </c>
      <c r="J74" s="21"/>
      <c r="K74" s="21">
        <v>1</v>
      </c>
      <c r="L74" s="21">
        <v>2</v>
      </c>
      <c r="M74" s="21">
        <v>2</v>
      </c>
      <c r="N74" s="21">
        <v>0</v>
      </c>
      <c r="O74" s="21">
        <v>0</v>
      </c>
      <c r="P74" s="21" t="str">
        <f>IF(TeamT[[#This Row],[General]]+TeamT[[#This Row],[Agility]]+TeamT[[#This Row],[Strength]]+TeamT[[#This Row],[Passing]]+TeamT[[#This Row],[Mutation]]&gt;0,IF(TeamT[[#This Row],[General]]=1,"G","")&amp;IF(TeamT[[#This Row],[Agility]]=1,"A","")&amp;IF(TeamT[[#This Row],[Strength]]=1,"S","")&amp;IF(TeamT[[#This Row],[Passing]]=1,"P","")&amp;IF(TeamT[[#This Row],[Mutation]]=1,"M",""),"Star")</f>
        <v>G</v>
      </c>
      <c r="Q74" s="21" t="str">
        <f>IF(TeamT[[#This Row],[General]]=2,"G","")&amp;IF(TeamT[[#This Row],[Agility]]=2,"A","")&amp;IF(TeamT[[#This Row],[Strength]]=2,"S","")&amp;IF(TeamT[[#This Row],[Passing]]=2,"P","")&amp;IF(TeamT[[#This Row],[Mutation]]=2,"M","")</f>
        <v>AS</v>
      </c>
      <c r="R74" s="212"/>
      <c r="S74" s="21">
        <v>3</v>
      </c>
      <c r="T74" s="21">
        <v>4</v>
      </c>
      <c r="U74" s="21">
        <v>9</v>
      </c>
      <c r="AA74" s="76" t="e">
        <f>HLOOKUP(Roster!$E$5,Team!$BL$2:$MK$128,73,FALSE)</f>
        <v>#N/A</v>
      </c>
      <c r="AB74" s="76" t="e">
        <f>HLOOKUP(Roster!$E$6,Team!$BL$2:$MK$128,73,FALSE)</f>
        <v>#N/A</v>
      </c>
      <c r="AC74" s="76" t="e">
        <f>HLOOKUP(Roster!$E$7,Team!$BL$2:$MK$128,73,FALSE)</f>
        <v>#N/A</v>
      </c>
      <c r="AD74" s="76" t="e">
        <f>HLOOKUP(Roster!$E$8,Team!$BL$2:$MK$128,73,FALSE)</f>
        <v>#N/A</v>
      </c>
      <c r="AE74" s="76" t="e">
        <f>HLOOKUP(Roster!$E$9,Team!$BL$2:$MK$128,73,FALSE)</f>
        <v>#N/A</v>
      </c>
      <c r="AF74" s="76" t="e">
        <f>HLOOKUP(Roster!$E$10,Team!$BL$2:$MK$128,73,FALSE)</f>
        <v>#N/A</v>
      </c>
      <c r="AG74" s="76" t="e">
        <f>HLOOKUP(Roster!$E$11,Team!$BL$2:$MK$128,73,FALSE)</f>
        <v>#N/A</v>
      </c>
      <c r="AH74" s="76" t="e">
        <f>HLOOKUP(Roster!$E$12,Team!$BL$2:$MK$128,73,FALSE)</f>
        <v>#N/A</v>
      </c>
      <c r="AI74" s="76" t="e">
        <f>HLOOKUP(Roster!$E$13,Team!$BL$2:$MK$128,73,FALSE)</f>
        <v>#N/A</v>
      </c>
      <c r="AJ74" s="76" t="e">
        <f>HLOOKUP(Roster!$E$14,Team!$BL$2:$MK$128,73,FALSE)</f>
        <v>#N/A</v>
      </c>
      <c r="AK74" s="76" t="e">
        <f>HLOOKUP(Roster!$E$15,Team!$BL$2:$MK$128,73,FALSE)</f>
        <v>#N/A</v>
      </c>
      <c r="AL74" s="76" t="e">
        <f>HLOOKUP(Roster!$E$16,Team!$BL$2:$MK$128,73,FALSE)</f>
        <v>#N/A</v>
      </c>
      <c r="AM74" s="76" t="e">
        <f>HLOOKUP(Roster!$E$17,Team!$BL$2:$MK$128,73,FALSE)</f>
        <v>#N/A</v>
      </c>
      <c r="AN74" s="76" t="e">
        <f>HLOOKUP(Roster!$E$18,Team!$BL$2:$MK$128,73,FALSE)</f>
        <v>#N/A</v>
      </c>
      <c r="AO74" s="76" t="e">
        <f>HLOOKUP(Roster!$E$19,Team!$BL$2:$MK$128,73,FALSE)</f>
        <v>#N/A</v>
      </c>
      <c r="AP74" s="76" t="e">
        <f>HLOOKUP(Roster!$E$20,Team!$BL$2:$MK$128,73,FALSE)</f>
        <v>#N/A</v>
      </c>
      <c r="AR74" s="108">
        <f t="shared" si="17"/>
        <v>0</v>
      </c>
      <c r="AS74" s="108">
        <f t="shared" si="18"/>
        <v>0</v>
      </c>
      <c r="AT74" s="108">
        <f t="shared" si="19"/>
        <v>0</v>
      </c>
      <c r="AU74" s="108">
        <f t="shared" si="20"/>
        <v>0</v>
      </c>
      <c r="AV74" s="108">
        <f t="shared" si="21"/>
        <v>0</v>
      </c>
      <c r="AW74" s="108">
        <f t="shared" si="22"/>
        <v>0</v>
      </c>
      <c r="AX74" s="108">
        <f t="shared" si="23"/>
        <v>0</v>
      </c>
      <c r="AY74" s="108">
        <f t="shared" si="24"/>
        <v>0</v>
      </c>
      <c r="AZ74" s="108">
        <f t="shared" si="25"/>
        <v>0</v>
      </c>
      <c r="BA74" s="108">
        <f t="shared" si="26"/>
        <v>0</v>
      </c>
      <c r="BB74" s="108">
        <f t="shared" si="27"/>
        <v>0</v>
      </c>
      <c r="BC74" s="108">
        <f t="shared" si="28"/>
        <v>0</v>
      </c>
      <c r="BD74" s="108">
        <f t="shared" si="29"/>
        <v>0</v>
      </c>
      <c r="BE74" s="108">
        <f t="shared" si="30"/>
        <v>0</v>
      </c>
      <c r="BF74" s="108">
        <f t="shared" si="31"/>
        <v>0</v>
      </c>
      <c r="BG74" s="108">
        <f t="shared" si="32"/>
        <v>0</v>
      </c>
      <c r="BL74" s="75" t="s">
        <v>357</v>
      </c>
      <c r="BM74" s="75" t="s">
        <v>321</v>
      </c>
      <c r="BN74" s="75" t="s">
        <v>357</v>
      </c>
      <c r="BO74" s="75" t="s">
        <v>357</v>
      </c>
      <c r="BP74" s="75" t="s">
        <v>357</v>
      </c>
      <c r="BQ74" s="75"/>
      <c r="BR74" s="75" t="s">
        <v>321</v>
      </c>
      <c r="BS74" s="75" t="s">
        <v>321</v>
      </c>
      <c r="BT74" s="75" t="s">
        <v>321</v>
      </c>
      <c r="BU74" s="75" t="s">
        <v>321</v>
      </c>
      <c r="BV74" s="75"/>
      <c r="BW74" s="81" t="s">
        <v>574</v>
      </c>
      <c r="BX74" s="81" t="s">
        <v>333</v>
      </c>
      <c r="BY74" s="81" t="s">
        <v>333</v>
      </c>
      <c r="BZ74" s="81" t="s">
        <v>333</v>
      </c>
      <c r="CA74" s="81" t="s">
        <v>333</v>
      </c>
      <c r="CB74" s="81" t="s">
        <v>574</v>
      </c>
      <c r="CC74" s="77"/>
      <c r="CD74" s="75" t="s">
        <v>357</v>
      </c>
      <c r="CE74" s="81" t="s">
        <v>333</v>
      </c>
      <c r="CF74" s="75" t="s">
        <v>357</v>
      </c>
      <c r="CG74" s="81" t="s">
        <v>333</v>
      </c>
      <c r="CH74" s="75" t="s">
        <v>357</v>
      </c>
      <c r="CI74" s="77"/>
      <c r="CJ74" s="81" t="s">
        <v>333</v>
      </c>
      <c r="CK74" s="81" t="s">
        <v>574</v>
      </c>
      <c r="CL74" s="81" t="s">
        <v>333</v>
      </c>
      <c r="CM74" s="81" t="s">
        <v>333</v>
      </c>
      <c r="CN74" s="81" t="s">
        <v>333</v>
      </c>
      <c r="CO74" s="81" t="s">
        <v>574</v>
      </c>
      <c r="CP74" s="81" t="s">
        <v>333</v>
      </c>
      <c r="CQ74" s="81" t="s">
        <v>333</v>
      </c>
      <c r="CR74" s="81" t="s">
        <v>333</v>
      </c>
      <c r="CS74" s="81" t="s">
        <v>333</v>
      </c>
      <c r="CT74" s="81" t="s">
        <v>333</v>
      </c>
      <c r="CU74" s="81"/>
      <c r="CV74" s="75" t="s">
        <v>321</v>
      </c>
      <c r="CW74" s="75" t="s">
        <v>321</v>
      </c>
      <c r="CX74" s="75" t="s">
        <v>321</v>
      </c>
      <c r="CY74" s="75" t="s">
        <v>321</v>
      </c>
      <c r="CZ74" s="75" t="s">
        <v>321</v>
      </c>
      <c r="DA74" s="81"/>
      <c r="DB74" s="75" t="s">
        <v>357</v>
      </c>
      <c r="DC74" s="75" t="s">
        <v>321</v>
      </c>
      <c r="DD74" s="75" t="s">
        <v>321</v>
      </c>
      <c r="DE74" s="75" t="s">
        <v>321</v>
      </c>
      <c r="DF74" s="75" t="s">
        <v>321</v>
      </c>
      <c r="DG74" s="75" t="s">
        <v>357</v>
      </c>
      <c r="DH74" s="75"/>
      <c r="DI74" s="75" t="s">
        <v>357</v>
      </c>
      <c r="DJ74" s="75" t="s">
        <v>321</v>
      </c>
      <c r="DK74" s="75" t="s">
        <v>321</v>
      </c>
      <c r="DL74" s="75" t="s">
        <v>357</v>
      </c>
      <c r="DM74" s="75" t="s">
        <v>357</v>
      </c>
      <c r="DN74" s="75" t="s">
        <v>357</v>
      </c>
      <c r="DO74" s="75"/>
      <c r="DP74" s="75" t="s">
        <v>357</v>
      </c>
      <c r="DQ74" s="75" t="s">
        <v>321</v>
      </c>
      <c r="DR74" s="75" t="s">
        <v>357</v>
      </c>
      <c r="DS74" s="75" t="s">
        <v>321</v>
      </c>
      <c r="DT74" s="75" t="s">
        <v>357</v>
      </c>
      <c r="DU74" s="75"/>
      <c r="DV74" s="75" t="s">
        <v>321</v>
      </c>
      <c r="DW74" s="75" t="s">
        <v>321</v>
      </c>
      <c r="DX74" s="75" t="s">
        <v>357</v>
      </c>
      <c r="DY74" s="75" t="s">
        <v>357</v>
      </c>
      <c r="DZ74" s="75" t="s">
        <v>321</v>
      </c>
      <c r="EA74" s="75" t="s">
        <v>321</v>
      </c>
      <c r="EB74" s="75" t="s">
        <v>357</v>
      </c>
      <c r="EC74" s="75" t="s">
        <v>321</v>
      </c>
      <c r="ED74" s="75" t="s">
        <v>321</v>
      </c>
      <c r="EE74" s="75"/>
      <c r="EF74" s="75" t="s">
        <v>357</v>
      </c>
      <c r="EG74" s="75" t="s">
        <v>321</v>
      </c>
      <c r="EH74" s="75" t="s">
        <v>357</v>
      </c>
      <c r="EI74" s="75" t="s">
        <v>321</v>
      </c>
      <c r="EJ74" s="75" t="s">
        <v>357</v>
      </c>
      <c r="EK74" s="75"/>
      <c r="EL74" s="75" t="s">
        <v>321</v>
      </c>
      <c r="EM74" s="75" t="s">
        <v>321</v>
      </c>
      <c r="EN74" s="75" t="s">
        <v>357</v>
      </c>
      <c r="EO74" s="75" t="s">
        <v>321</v>
      </c>
      <c r="EP74" s="75" t="s">
        <v>321</v>
      </c>
      <c r="EQ74" s="75"/>
      <c r="ER74" s="75" t="s">
        <v>357</v>
      </c>
      <c r="ES74" s="75" t="s">
        <v>321</v>
      </c>
      <c r="ET74" s="75" t="s">
        <v>321</v>
      </c>
      <c r="EU74" s="75" t="s">
        <v>321</v>
      </c>
      <c r="EV74" s="75" t="s">
        <v>357</v>
      </c>
      <c r="EW74" s="75" t="s">
        <v>357</v>
      </c>
      <c r="EX74" s="75" t="s">
        <v>357</v>
      </c>
      <c r="EY74" s="75"/>
      <c r="EZ74" s="75" t="s">
        <v>357</v>
      </c>
      <c r="FA74" s="75" t="s">
        <v>321</v>
      </c>
      <c r="FB74" s="75" t="s">
        <v>321</v>
      </c>
      <c r="FC74" s="75" t="s">
        <v>357</v>
      </c>
      <c r="FD74" s="75" t="s">
        <v>357</v>
      </c>
      <c r="FE74" s="75" t="s">
        <v>357</v>
      </c>
      <c r="FF74" s="75"/>
      <c r="FG74" s="81" t="s">
        <v>333</v>
      </c>
      <c r="FH74" s="81" t="s">
        <v>574</v>
      </c>
      <c r="FI74" s="81" t="s">
        <v>333</v>
      </c>
      <c r="FJ74" s="81" t="s">
        <v>333</v>
      </c>
      <c r="FK74" s="81" t="s">
        <v>333</v>
      </c>
      <c r="FL74" s="75"/>
      <c r="FM74" s="75" t="s">
        <v>321</v>
      </c>
      <c r="FN74" s="75" t="s">
        <v>321</v>
      </c>
      <c r="FO74" s="75" t="s">
        <v>357</v>
      </c>
      <c r="FP74" s="75" t="s">
        <v>357</v>
      </c>
      <c r="FQ74" s="75" t="s">
        <v>321</v>
      </c>
      <c r="FR74" s="75"/>
      <c r="FS74" s="75" t="s">
        <v>357</v>
      </c>
      <c r="FT74" s="75" t="s">
        <v>321</v>
      </c>
      <c r="FU74" s="75" t="s">
        <v>357</v>
      </c>
      <c r="FV74" s="75" t="s">
        <v>321</v>
      </c>
      <c r="FW74" s="75" t="s">
        <v>357</v>
      </c>
      <c r="FX74" s="75" t="s">
        <v>357</v>
      </c>
      <c r="FY74" s="75"/>
      <c r="FZ74" s="75" t="s">
        <v>321</v>
      </c>
      <c r="GA74" s="75"/>
      <c r="GB74" s="75" t="s">
        <v>321</v>
      </c>
      <c r="GC74" s="75" t="s">
        <v>321</v>
      </c>
      <c r="GD74" s="75" t="s">
        <v>357</v>
      </c>
      <c r="GE74" s="75" t="s">
        <v>357</v>
      </c>
      <c r="GF74" s="75" t="s">
        <v>321</v>
      </c>
      <c r="GG74" s="75"/>
      <c r="GH74" s="81" t="s">
        <v>333</v>
      </c>
      <c r="GI74" s="81" t="s">
        <v>574</v>
      </c>
      <c r="GJ74" s="81" t="s">
        <v>333</v>
      </c>
      <c r="GK74" s="81" t="s">
        <v>333</v>
      </c>
      <c r="GL74" s="81" t="s">
        <v>333</v>
      </c>
      <c r="GM74" s="81"/>
      <c r="GO74" s="75" t="s">
        <v>321</v>
      </c>
      <c r="GP74" s="75" t="s">
        <v>321</v>
      </c>
      <c r="GS74" s="75" t="s">
        <v>357</v>
      </c>
      <c r="GT74" s="75" t="s">
        <v>321</v>
      </c>
      <c r="GU74" s="75" t="s">
        <v>357</v>
      </c>
      <c r="GV74" s="75" t="s">
        <v>357</v>
      </c>
      <c r="GW74" s="75" t="s">
        <v>357</v>
      </c>
      <c r="GX74" s="75" t="s">
        <v>321</v>
      </c>
      <c r="GY74" s="75" t="s">
        <v>357</v>
      </c>
      <c r="GZ74" s="75" t="s">
        <v>357</v>
      </c>
      <c r="HA74" s="75" t="s">
        <v>357</v>
      </c>
      <c r="HB74" s="75" t="s">
        <v>357</v>
      </c>
      <c r="HC74" s="75" t="s">
        <v>321</v>
      </c>
      <c r="HD74" s="75" t="s">
        <v>357</v>
      </c>
      <c r="HE74" s="75"/>
      <c r="HF74" s="75" t="s">
        <v>357</v>
      </c>
      <c r="HG74" s="75" t="s">
        <v>321</v>
      </c>
      <c r="HH74" s="75" t="s">
        <v>321</v>
      </c>
      <c r="HI74" s="75" t="s">
        <v>357</v>
      </c>
      <c r="HJ74" s="75" t="s">
        <v>357</v>
      </c>
      <c r="HK74" s="75" t="s">
        <v>321</v>
      </c>
      <c r="HL74" s="75" t="s">
        <v>357</v>
      </c>
      <c r="HM74" s="75"/>
      <c r="HN74" s="75" t="s">
        <v>357</v>
      </c>
      <c r="HO74" s="75" t="s">
        <v>357</v>
      </c>
      <c r="HP74" s="75" t="s">
        <v>321</v>
      </c>
      <c r="HQ74" s="75" t="s">
        <v>321</v>
      </c>
      <c r="HR74" s="75" t="s">
        <v>357</v>
      </c>
      <c r="HS74" s="75" t="s">
        <v>357</v>
      </c>
      <c r="HT74" s="75"/>
      <c r="HU74" s="75" t="s">
        <v>357</v>
      </c>
      <c r="HV74" s="75" t="s">
        <v>321</v>
      </c>
      <c r="HW74" s="75" t="s">
        <v>357</v>
      </c>
      <c r="HX74" s="75" t="s">
        <v>357</v>
      </c>
      <c r="HY74" s="75" t="s">
        <v>357</v>
      </c>
      <c r="HZ74" s="75" t="s">
        <v>357</v>
      </c>
      <c r="IA74" s="75"/>
      <c r="IB74" s="81" t="s">
        <v>333</v>
      </c>
      <c r="IC74" s="81" t="s">
        <v>574</v>
      </c>
      <c r="ID74" s="81" t="s">
        <v>574</v>
      </c>
      <c r="IE74" s="81" t="s">
        <v>574</v>
      </c>
      <c r="IF74" s="81" t="s">
        <v>333</v>
      </c>
      <c r="IG74" s="81" t="s">
        <v>333</v>
      </c>
      <c r="IH74" s="81"/>
      <c r="II74" s="75" t="s">
        <v>321</v>
      </c>
      <c r="IJ74" s="75" t="s">
        <v>321</v>
      </c>
      <c r="IK74" s="75" t="s">
        <v>321</v>
      </c>
      <c r="IL74" s="75" t="s">
        <v>321</v>
      </c>
      <c r="IM74" s="75" t="s">
        <v>321</v>
      </c>
      <c r="IN74" s="81"/>
      <c r="IP74" s="75" t="s">
        <v>357</v>
      </c>
      <c r="IS74" s="75" t="s">
        <v>357</v>
      </c>
      <c r="IT74" s="75" t="s">
        <v>321</v>
      </c>
      <c r="IW74" s="75" t="s">
        <v>357</v>
      </c>
      <c r="IX74" s="75" t="s">
        <v>357</v>
      </c>
      <c r="IY74" s="75" t="s">
        <v>321</v>
      </c>
      <c r="IZ74" s="75" t="s">
        <v>357</v>
      </c>
      <c r="JA74" s="75" t="s">
        <v>357</v>
      </c>
      <c r="JC74" s="81" t="s">
        <v>333</v>
      </c>
      <c r="JD74" s="81" t="s">
        <v>357</v>
      </c>
      <c r="JE74" s="81" t="s">
        <v>333</v>
      </c>
      <c r="JF74" s="81" t="s">
        <v>574</v>
      </c>
      <c r="JG74" s="81" t="s">
        <v>574</v>
      </c>
      <c r="JH74" s="81" t="s">
        <v>574</v>
      </c>
      <c r="JI74" s="81" t="s">
        <v>574</v>
      </c>
      <c r="JJ74" s="81" t="s">
        <v>333</v>
      </c>
      <c r="JK74" s="81" t="s">
        <v>333</v>
      </c>
      <c r="JL74" s="81"/>
      <c r="JM74" s="75" t="s">
        <v>357</v>
      </c>
      <c r="JN74" s="75" t="s">
        <v>321</v>
      </c>
      <c r="JO74" s="75" t="s">
        <v>357</v>
      </c>
      <c r="JP74" s="81"/>
      <c r="JQ74" s="75" t="s">
        <v>357</v>
      </c>
      <c r="JR74" s="75" t="s">
        <v>321</v>
      </c>
      <c r="JS74" s="75" t="s">
        <v>321</v>
      </c>
      <c r="JT74" s="75" t="s">
        <v>321</v>
      </c>
      <c r="JU74" s="75" t="s">
        <v>357</v>
      </c>
      <c r="JV74" s="75" t="s">
        <v>357</v>
      </c>
    </row>
    <row r="75" spans="1:282" x14ac:dyDescent="0.15">
      <c r="A75" s="214" t="s">
        <v>109</v>
      </c>
      <c r="B75" s="6" t="s">
        <v>21</v>
      </c>
      <c r="C75" s="6">
        <v>80000</v>
      </c>
      <c r="D75" s="6">
        <v>2</v>
      </c>
      <c r="E75" s="6">
        <v>6</v>
      </c>
      <c r="F75" s="6">
        <v>3</v>
      </c>
      <c r="G75" s="6" t="s">
        <v>36</v>
      </c>
      <c r="H75" s="6" t="s">
        <v>59</v>
      </c>
      <c r="I75" s="6" t="s">
        <v>46</v>
      </c>
      <c r="J75" s="21" t="s">
        <v>113</v>
      </c>
      <c r="K75" s="21">
        <v>1</v>
      </c>
      <c r="L75" s="21">
        <v>2</v>
      </c>
      <c r="M75" s="21">
        <v>2</v>
      </c>
      <c r="N75" s="21">
        <v>1</v>
      </c>
      <c r="O75" s="21">
        <v>0</v>
      </c>
      <c r="P75" s="21" t="str">
        <f>IF(TeamT[[#This Row],[General]]+TeamT[[#This Row],[Agility]]+TeamT[[#This Row],[Strength]]+TeamT[[#This Row],[Passing]]+TeamT[[#This Row],[Mutation]]&gt;0,IF(TeamT[[#This Row],[General]]=1,"G","")&amp;IF(TeamT[[#This Row],[Agility]]=1,"A","")&amp;IF(TeamT[[#This Row],[Strength]]=1,"S","")&amp;IF(TeamT[[#This Row],[Passing]]=1,"P","")&amp;IF(TeamT[[#This Row],[Mutation]]=1,"M",""),"Star")</f>
        <v>GP</v>
      </c>
      <c r="Q75" s="21" t="str">
        <f>IF(TeamT[[#This Row],[General]]=2,"G","")&amp;IF(TeamT[[#This Row],[Agility]]=2,"A","")&amp;IF(TeamT[[#This Row],[Strength]]=2,"S","")&amp;IF(TeamT[[#This Row],[Passing]]=2,"P","")&amp;IF(TeamT[[#This Row],[Mutation]]=2,"M","")</f>
        <v>AS</v>
      </c>
      <c r="R75" s="212"/>
      <c r="S75" s="21">
        <v>3</v>
      </c>
      <c r="T75" s="21">
        <v>2</v>
      </c>
      <c r="U75" s="21">
        <v>9</v>
      </c>
      <c r="AA75" s="76" t="e">
        <f>HLOOKUP(Roster!$E$5,Team!$BL$2:$MK$128,74,FALSE)</f>
        <v>#N/A</v>
      </c>
      <c r="AB75" s="76" t="e">
        <f>HLOOKUP(Roster!$E$6,Team!$BL$2:$MK$128,74,FALSE)</f>
        <v>#N/A</v>
      </c>
      <c r="AC75" s="76" t="e">
        <f>HLOOKUP(Roster!$E$7,Team!$BL$2:$MK$128,74,FALSE)</f>
        <v>#N/A</v>
      </c>
      <c r="AD75" s="76" t="e">
        <f>HLOOKUP(Roster!$E$8,Team!$BL$2:$MK$128,74,FALSE)</f>
        <v>#N/A</v>
      </c>
      <c r="AE75" s="76" t="e">
        <f>HLOOKUP(Roster!$E$9,Team!$BL$2:$MK$128,74,FALSE)</f>
        <v>#N/A</v>
      </c>
      <c r="AF75" s="76" t="e">
        <f>HLOOKUP(Roster!$E$10,Team!$BL$2:$MK$128,74,FALSE)</f>
        <v>#N/A</v>
      </c>
      <c r="AG75" s="76" t="e">
        <f>HLOOKUP(Roster!$E$11,Team!$BL$2:$MK$128,74,FALSE)</f>
        <v>#N/A</v>
      </c>
      <c r="AH75" s="76" t="e">
        <f>HLOOKUP(Roster!$E$12,Team!$BL$2:$MK$128,74,FALSE)</f>
        <v>#N/A</v>
      </c>
      <c r="AI75" s="76" t="e">
        <f>HLOOKUP(Roster!$E$13,Team!$BL$2:$MK$128,74,FALSE)</f>
        <v>#N/A</v>
      </c>
      <c r="AJ75" s="76" t="e">
        <f>HLOOKUP(Roster!$E$14,Team!$BL$2:$MK$128,74,FALSE)</f>
        <v>#N/A</v>
      </c>
      <c r="AK75" s="76" t="e">
        <f>HLOOKUP(Roster!$E$15,Team!$BL$2:$MK$128,74,FALSE)</f>
        <v>#N/A</v>
      </c>
      <c r="AL75" s="76" t="e">
        <f>HLOOKUP(Roster!$E$16,Team!$BL$2:$MK$128,74,FALSE)</f>
        <v>#N/A</v>
      </c>
      <c r="AM75" s="76" t="e">
        <f>HLOOKUP(Roster!$E$17,Team!$BL$2:$MK$128,74,FALSE)</f>
        <v>#N/A</v>
      </c>
      <c r="AN75" s="76" t="e">
        <f>HLOOKUP(Roster!$E$18,Team!$BL$2:$MK$128,74,FALSE)</f>
        <v>#N/A</v>
      </c>
      <c r="AO75" s="76" t="e">
        <f>HLOOKUP(Roster!$E$19,Team!$BL$2:$MK$128,74,FALSE)</f>
        <v>#N/A</v>
      </c>
      <c r="AP75" s="76" t="e">
        <f>HLOOKUP(Roster!$E$20,Team!$BL$2:$MK$128,74,FALSE)</f>
        <v>#N/A</v>
      </c>
      <c r="AR75" s="108">
        <f t="shared" si="17"/>
        <v>0</v>
      </c>
      <c r="AS75" s="108">
        <f t="shared" si="18"/>
        <v>0</v>
      </c>
      <c r="AT75" s="108">
        <f t="shared" si="19"/>
        <v>0</v>
      </c>
      <c r="AU75" s="108">
        <f t="shared" si="20"/>
        <v>0</v>
      </c>
      <c r="AV75" s="108">
        <f t="shared" si="21"/>
        <v>0</v>
      </c>
      <c r="AW75" s="108">
        <f t="shared" si="22"/>
        <v>0</v>
      </c>
      <c r="AX75" s="108">
        <f t="shared" si="23"/>
        <v>0</v>
      </c>
      <c r="AY75" s="108">
        <f t="shared" si="24"/>
        <v>0</v>
      </c>
      <c r="AZ75" s="108">
        <f t="shared" si="25"/>
        <v>0</v>
      </c>
      <c r="BA75" s="108">
        <f t="shared" si="26"/>
        <v>0</v>
      </c>
      <c r="BB75" s="108">
        <f t="shared" si="27"/>
        <v>0</v>
      </c>
      <c r="BC75" s="108">
        <f t="shared" si="28"/>
        <v>0</v>
      </c>
      <c r="BD75" s="108">
        <f t="shared" si="29"/>
        <v>0</v>
      </c>
      <c r="BE75" s="108">
        <f t="shared" si="30"/>
        <v>0</v>
      </c>
      <c r="BF75" s="108">
        <f t="shared" si="31"/>
        <v>0</v>
      </c>
      <c r="BG75" s="108">
        <f t="shared" si="32"/>
        <v>0</v>
      </c>
      <c r="BL75" s="75" t="s">
        <v>358</v>
      </c>
      <c r="BM75" s="75" t="s">
        <v>322</v>
      </c>
      <c r="BN75" s="75" t="s">
        <v>358</v>
      </c>
      <c r="BO75" s="75" t="s">
        <v>358</v>
      </c>
      <c r="BP75" s="75" t="s">
        <v>358</v>
      </c>
      <c r="BQ75" s="75"/>
      <c r="BR75" s="75" t="s">
        <v>322</v>
      </c>
      <c r="BS75" s="75" t="s">
        <v>322</v>
      </c>
      <c r="BT75" s="75" t="s">
        <v>322</v>
      </c>
      <c r="BU75" s="75" t="s">
        <v>322</v>
      </c>
      <c r="BV75" s="75"/>
      <c r="BW75" s="81" t="s">
        <v>310</v>
      </c>
      <c r="BX75" s="81" t="s">
        <v>334</v>
      </c>
      <c r="BY75" s="81" t="s">
        <v>334</v>
      </c>
      <c r="BZ75" s="81" t="s">
        <v>334</v>
      </c>
      <c r="CA75" s="81" t="s">
        <v>334</v>
      </c>
      <c r="CB75" s="81" t="s">
        <v>310</v>
      </c>
      <c r="CC75" s="77"/>
      <c r="CD75" s="75" t="s">
        <v>358</v>
      </c>
      <c r="CE75" s="81" t="s">
        <v>334</v>
      </c>
      <c r="CF75" s="75" t="s">
        <v>358</v>
      </c>
      <c r="CG75" s="81" t="s">
        <v>334</v>
      </c>
      <c r="CH75" s="75" t="s">
        <v>358</v>
      </c>
      <c r="CI75" s="77"/>
      <c r="CJ75" s="81" t="s">
        <v>334</v>
      </c>
      <c r="CK75" s="81" t="s">
        <v>310</v>
      </c>
      <c r="CL75" s="81" t="s">
        <v>334</v>
      </c>
      <c r="CM75" s="81" t="s">
        <v>334</v>
      </c>
      <c r="CN75" s="81" t="s">
        <v>334</v>
      </c>
      <c r="CO75" s="81" t="s">
        <v>310</v>
      </c>
      <c r="CP75" s="81" t="s">
        <v>334</v>
      </c>
      <c r="CQ75" s="81" t="s">
        <v>334</v>
      </c>
      <c r="CR75" s="81" t="s">
        <v>334</v>
      </c>
      <c r="CS75" s="81" t="s">
        <v>334</v>
      </c>
      <c r="CT75" s="81" t="s">
        <v>334</v>
      </c>
      <c r="CU75" s="81"/>
      <c r="CV75" s="75" t="s">
        <v>322</v>
      </c>
      <c r="CW75" s="75" t="s">
        <v>322</v>
      </c>
      <c r="CX75" s="75" t="s">
        <v>322</v>
      </c>
      <c r="CY75" s="75" t="s">
        <v>322</v>
      </c>
      <c r="CZ75" s="75" t="s">
        <v>322</v>
      </c>
      <c r="DA75" s="81"/>
      <c r="DB75" s="75" t="s">
        <v>358</v>
      </c>
      <c r="DC75" s="75" t="s">
        <v>322</v>
      </c>
      <c r="DD75" s="75" t="s">
        <v>322</v>
      </c>
      <c r="DE75" s="75" t="s">
        <v>322</v>
      </c>
      <c r="DF75" s="75" t="s">
        <v>322</v>
      </c>
      <c r="DG75" s="75" t="s">
        <v>358</v>
      </c>
      <c r="DH75" s="75"/>
      <c r="DI75" s="75" t="s">
        <v>358</v>
      </c>
      <c r="DJ75" s="75" t="s">
        <v>322</v>
      </c>
      <c r="DK75" s="75" t="s">
        <v>322</v>
      </c>
      <c r="DL75" s="75" t="s">
        <v>358</v>
      </c>
      <c r="DM75" s="75" t="s">
        <v>358</v>
      </c>
      <c r="DN75" s="75" t="s">
        <v>358</v>
      </c>
      <c r="DO75" s="75"/>
      <c r="DP75" s="75" t="s">
        <v>358</v>
      </c>
      <c r="DQ75" s="75" t="s">
        <v>322</v>
      </c>
      <c r="DR75" s="75" t="s">
        <v>358</v>
      </c>
      <c r="DS75" s="75" t="s">
        <v>322</v>
      </c>
      <c r="DT75" s="75" t="s">
        <v>358</v>
      </c>
      <c r="DU75" s="75"/>
      <c r="DV75" s="75" t="s">
        <v>322</v>
      </c>
      <c r="DW75" s="75" t="s">
        <v>322</v>
      </c>
      <c r="DX75" s="75" t="s">
        <v>358</v>
      </c>
      <c r="DY75" s="75" t="s">
        <v>358</v>
      </c>
      <c r="DZ75" s="75" t="s">
        <v>322</v>
      </c>
      <c r="EA75" s="75" t="s">
        <v>322</v>
      </c>
      <c r="EB75" s="75" t="s">
        <v>358</v>
      </c>
      <c r="EC75" s="75" t="s">
        <v>322</v>
      </c>
      <c r="ED75" s="75" t="s">
        <v>322</v>
      </c>
      <c r="EE75" s="75"/>
      <c r="EF75" s="75" t="s">
        <v>358</v>
      </c>
      <c r="EG75" s="75" t="s">
        <v>322</v>
      </c>
      <c r="EH75" s="75" t="s">
        <v>358</v>
      </c>
      <c r="EI75" s="75" t="s">
        <v>322</v>
      </c>
      <c r="EJ75" s="75" t="s">
        <v>358</v>
      </c>
      <c r="EK75" s="75"/>
      <c r="EL75" s="75" t="s">
        <v>322</v>
      </c>
      <c r="EM75" s="75" t="s">
        <v>322</v>
      </c>
      <c r="EN75" s="75" t="s">
        <v>358</v>
      </c>
      <c r="EO75" s="75" t="s">
        <v>322</v>
      </c>
      <c r="EP75" s="75" t="s">
        <v>322</v>
      </c>
      <c r="EQ75" s="75"/>
      <c r="ER75" s="75" t="s">
        <v>358</v>
      </c>
      <c r="ES75" s="75" t="s">
        <v>322</v>
      </c>
      <c r="ET75" s="75" t="s">
        <v>322</v>
      </c>
      <c r="EU75" s="75" t="s">
        <v>322</v>
      </c>
      <c r="EV75" s="75" t="s">
        <v>358</v>
      </c>
      <c r="EW75" s="75" t="s">
        <v>358</v>
      </c>
      <c r="EX75" s="75" t="s">
        <v>358</v>
      </c>
      <c r="EY75" s="75"/>
      <c r="EZ75" s="75" t="s">
        <v>358</v>
      </c>
      <c r="FA75" s="75" t="s">
        <v>322</v>
      </c>
      <c r="FB75" s="75" t="s">
        <v>322</v>
      </c>
      <c r="FC75" s="75" t="s">
        <v>358</v>
      </c>
      <c r="FD75" s="75" t="s">
        <v>358</v>
      </c>
      <c r="FE75" s="75" t="s">
        <v>358</v>
      </c>
      <c r="FF75" s="75"/>
      <c r="FG75" s="81" t="s">
        <v>334</v>
      </c>
      <c r="FH75" s="81" t="s">
        <v>310</v>
      </c>
      <c r="FI75" s="81" t="s">
        <v>334</v>
      </c>
      <c r="FJ75" s="81" t="s">
        <v>334</v>
      </c>
      <c r="FK75" s="81" t="s">
        <v>334</v>
      </c>
      <c r="FL75" s="75"/>
      <c r="FM75" s="75" t="s">
        <v>322</v>
      </c>
      <c r="FN75" s="75" t="s">
        <v>322</v>
      </c>
      <c r="FO75" s="75" t="s">
        <v>358</v>
      </c>
      <c r="FP75" s="75" t="s">
        <v>358</v>
      </c>
      <c r="FQ75" s="75" t="s">
        <v>322</v>
      </c>
      <c r="FR75" s="75"/>
      <c r="FS75" s="75" t="s">
        <v>358</v>
      </c>
      <c r="FT75" s="75" t="s">
        <v>322</v>
      </c>
      <c r="FU75" s="75" t="s">
        <v>358</v>
      </c>
      <c r="FV75" s="75" t="s">
        <v>322</v>
      </c>
      <c r="FW75" s="75" t="s">
        <v>358</v>
      </c>
      <c r="FX75" s="75" t="s">
        <v>358</v>
      </c>
      <c r="FY75" s="75"/>
      <c r="FZ75" s="75" t="s">
        <v>322</v>
      </c>
      <c r="GA75" s="75"/>
      <c r="GB75" s="75" t="s">
        <v>322</v>
      </c>
      <c r="GC75" s="75" t="s">
        <v>322</v>
      </c>
      <c r="GD75" s="75" t="s">
        <v>358</v>
      </c>
      <c r="GE75" s="75" t="s">
        <v>358</v>
      </c>
      <c r="GF75" s="75" t="s">
        <v>322</v>
      </c>
      <c r="GG75" s="75"/>
      <c r="GH75" s="81" t="s">
        <v>334</v>
      </c>
      <c r="GI75" s="81" t="s">
        <v>310</v>
      </c>
      <c r="GJ75" s="81" t="s">
        <v>334</v>
      </c>
      <c r="GK75" s="81" t="s">
        <v>334</v>
      </c>
      <c r="GL75" s="81" t="s">
        <v>334</v>
      </c>
      <c r="GM75" s="81"/>
      <c r="GO75" s="75" t="s">
        <v>322</v>
      </c>
      <c r="GP75" s="75" t="s">
        <v>322</v>
      </c>
      <c r="GS75" s="75" t="s">
        <v>358</v>
      </c>
      <c r="GT75" s="75" t="s">
        <v>322</v>
      </c>
      <c r="GU75" s="75" t="s">
        <v>358</v>
      </c>
      <c r="GV75" s="75" t="s">
        <v>358</v>
      </c>
      <c r="GW75" s="75" t="s">
        <v>358</v>
      </c>
      <c r="GX75" s="75" t="s">
        <v>322</v>
      </c>
      <c r="GY75" s="75" t="s">
        <v>358</v>
      </c>
      <c r="GZ75" s="75" t="s">
        <v>358</v>
      </c>
      <c r="HA75" s="75" t="s">
        <v>358</v>
      </c>
      <c r="HB75" s="75" t="s">
        <v>358</v>
      </c>
      <c r="HC75" s="75" t="s">
        <v>322</v>
      </c>
      <c r="HD75" s="75" t="s">
        <v>358</v>
      </c>
      <c r="HE75" s="75"/>
      <c r="HF75" s="75" t="s">
        <v>358</v>
      </c>
      <c r="HG75" s="75" t="s">
        <v>322</v>
      </c>
      <c r="HH75" s="75" t="s">
        <v>322</v>
      </c>
      <c r="HI75" s="75" t="s">
        <v>358</v>
      </c>
      <c r="HJ75" s="75" t="s">
        <v>358</v>
      </c>
      <c r="HK75" s="75" t="s">
        <v>322</v>
      </c>
      <c r="HL75" s="75" t="s">
        <v>358</v>
      </c>
      <c r="HM75" s="75"/>
      <c r="HN75" s="75" t="s">
        <v>358</v>
      </c>
      <c r="HO75" s="75" t="s">
        <v>358</v>
      </c>
      <c r="HP75" s="75" t="s">
        <v>322</v>
      </c>
      <c r="HQ75" s="75" t="s">
        <v>322</v>
      </c>
      <c r="HR75" s="75" t="s">
        <v>358</v>
      </c>
      <c r="HS75" s="75" t="s">
        <v>358</v>
      </c>
      <c r="HT75" s="75"/>
      <c r="HU75" s="75" t="s">
        <v>358</v>
      </c>
      <c r="HV75" s="75" t="s">
        <v>322</v>
      </c>
      <c r="HW75" s="75" t="s">
        <v>358</v>
      </c>
      <c r="HX75" s="75" t="s">
        <v>358</v>
      </c>
      <c r="HY75" s="75" t="s">
        <v>358</v>
      </c>
      <c r="HZ75" s="75" t="s">
        <v>358</v>
      </c>
      <c r="IA75" s="75"/>
      <c r="IB75" s="81" t="s">
        <v>334</v>
      </c>
      <c r="IC75" s="81" t="s">
        <v>310</v>
      </c>
      <c r="ID75" s="81" t="s">
        <v>310</v>
      </c>
      <c r="IE75" s="81" t="s">
        <v>310</v>
      </c>
      <c r="IF75" s="81" t="s">
        <v>334</v>
      </c>
      <c r="IG75" s="81" t="s">
        <v>334</v>
      </c>
      <c r="IH75" s="81"/>
      <c r="II75" s="75" t="s">
        <v>322</v>
      </c>
      <c r="IJ75" s="75" t="s">
        <v>322</v>
      </c>
      <c r="IK75" s="75" t="s">
        <v>322</v>
      </c>
      <c r="IL75" s="75" t="s">
        <v>322</v>
      </c>
      <c r="IM75" s="75" t="s">
        <v>322</v>
      </c>
      <c r="IN75" s="81"/>
      <c r="IP75" s="75" t="s">
        <v>358</v>
      </c>
      <c r="IS75" s="75" t="s">
        <v>358</v>
      </c>
      <c r="IT75" s="75" t="s">
        <v>322</v>
      </c>
      <c r="IW75" s="75" t="s">
        <v>358</v>
      </c>
      <c r="IX75" s="75" t="s">
        <v>358</v>
      </c>
      <c r="IY75" s="75" t="s">
        <v>322</v>
      </c>
      <c r="IZ75" s="75" t="s">
        <v>358</v>
      </c>
      <c r="JA75" s="75" t="s">
        <v>358</v>
      </c>
      <c r="JC75" s="81" t="s">
        <v>334</v>
      </c>
      <c r="JD75" s="81" t="s">
        <v>358</v>
      </c>
      <c r="JE75" s="81" t="s">
        <v>334</v>
      </c>
      <c r="JF75" s="81" t="s">
        <v>310</v>
      </c>
      <c r="JG75" s="81" t="s">
        <v>310</v>
      </c>
      <c r="JH75" s="81" t="s">
        <v>310</v>
      </c>
      <c r="JI75" s="81" t="s">
        <v>310</v>
      </c>
      <c r="JJ75" s="81" t="s">
        <v>334</v>
      </c>
      <c r="JK75" s="81" t="s">
        <v>334</v>
      </c>
      <c r="JL75" s="81"/>
      <c r="JM75" s="75" t="s">
        <v>358</v>
      </c>
      <c r="JN75" s="75" t="s">
        <v>322</v>
      </c>
      <c r="JO75" s="75" t="s">
        <v>358</v>
      </c>
      <c r="JP75" s="81"/>
      <c r="JQ75" s="75" t="s">
        <v>358</v>
      </c>
      <c r="JR75" s="75" t="s">
        <v>322</v>
      </c>
      <c r="JS75" s="75" t="s">
        <v>322</v>
      </c>
      <c r="JT75" s="75" t="s">
        <v>322</v>
      </c>
      <c r="JU75" s="75" t="s">
        <v>358</v>
      </c>
      <c r="JV75" s="75" t="s">
        <v>358</v>
      </c>
    </row>
    <row r="76" spans="1:282" x14ac:dyDescent="0.15">
      <c r="A76" s="214" t="s">
        <v>110</v>
      </c>
      <c r="B76" s="6" t="s">
        <v>21</v>
      </c>
      <c r="C76" s="6">
        <v>65000</v>
      </c>
      <c r="D76" s="6">
        <v>4</v>
      </c>
      <c r="E76" s="6">
        <v>8</v>
      </c>
      <c r="F76" s="6">
        <v>2</v>
      </c>
      <c r="G76" s="6" t="s">
        <v>36</v>
      </c>
      <c r="H76" s="6" t="s">
        <v>40</v>
      </c>
      <c r="I76" s="6" t="s">
        <v>38</v>
      </c>
      <c r="J76" s="21" t="s">
        <v>114</v>
      </c>
      <c r="K76" s="21">
        <v>1</v>
      </c>
      <c r="L76" s="21">
        <v>1</v>
      </c>
      <c r="M76" s="21">
        <v>2</v>
      </c>
      <c r="N76" s="21">
        <v>2</v>
      </c>
      <c r="O76" s="21">
        <v>0</v>
      </c>
      <c r="P76" s="21" t="str">
        <f>IF(TeamT[[#This Row],[General]]+TeamT[[#This Row],[Agility]]+TeamT[[#This Row],[Strength]]+TeamT[[#This Row],[Passing]]+TeamT[[#This Row],[Mutation]]&gt;0,IF(TeamT[[#This Row],[General]]=1,"G","")&amp;IF(TeamT[[#This Row],[Agility]]=1,"A","")&amp;IF(TeamT[[#This Row],[Strength]]=1,"S","")&amp;IF(TeamT[[#This Row],[Passing]]=1,"P","")&amp;IF(TeamT[[#This Row],[Mutation]]=1,"M",""),"Star")</f>
        <v>GA</v>
      </c>
      <c r="Q76" s="21" t="str">
        <f>IF(TeamT[[#This Row],[General]]=2,"G","")&amp;IF(TeamT[[#This Row],[Agility]]=2,"A","")&amp;IF(TeamT[[#This Row],[Strength]]=2,"S","")&amp;IF(TeamT[[#This Row],[Passing]]=2,"P","")&amp;IF(TeamT[[#This Row],[Mutation]]=2,"M","")</f>
        <v>SP</v>
      </c>
      <c r="R76" s="212"/>
      <c r="S76" s="21">
        <v>3</v>
      </c>
      <c r="T76" s="21">
        <v>5</v>
      </c>
      <c r="U76" s="21">
        <v>8</v>
      </c>
      <c r="AA76" s="76" t="e">
        <f>HLOOKUP(Roster!$E$5,Team!$BL$2:$MK$128,75,FALSE)</f>
        <v>#N/A</v>
      </c>
      <c r="AB76" s="76" t="e">
        <f>HLOOKUP(Roster!$E$6,Team!$BL$2:$MK$128,75,FALSE)</f>
        <v>#N/A</v>
      </c>
      <c r="AC76" s="76" t="e">
        <f>HLOOKUP(Roster!$E$7,Team!$BL$2:$MK$128,75,FALSE)</f>
        <v>#N/A</v>
      </c>
      <c r="AD76" s="76" t="e">
        <f>HLOOKUP(Roster!$E$8,Team!$BL$2:$MK$128,75,FALSE)</f>
        <v>#N/A</v>
      </c>
      <c r="AE76" s="76" t="e">
        <f>HLOOKUP(Roster!$E$9,Team!$BL$2:$MK$128,75,FALSE)</f>
        <v>#N/A</v>
      </c>
      <c r="AF76" s="76" t="e">
        <f>HLOOKUP(Roster!$E$10,Team!$BL$2:$MK$128,75,FALSE)</f>
        <v>#N/A</v>
      </c>
      <c r="AG76" s="76" t="e">
        <f>HLOOKUP(Roster!$E$11,Team!$BL$2:$MK$128,75,FALSE)</f>
        <v>#N/A</v>
      </c>
      <c r="AH76" s="76" t="e">
        <f>HLOOKUP(Roster!$E$12,Team!$BL$2:$MK$128,75,FALSE)</f>
        <v>#N/A</v>
      </c>
      <c r="AI76" s="76" t="e">
        <f>HLOOKUP(Roster!$E$13,Team!$BL$2:$MK$128,75,FALSE)</f>
        <v>#N/A</v>
      </c>
      <c r="AJ76" s="76" t="e">
        <f>HLOOKUP(Roster!$E$14,Team!$BL$2:$MK$128,75,FALSE)</f>
        <v>#N/A</v>
      </c>
      <c r="AK76" s="76" t="e">
        <f>HLOOKUP(Roster!$E$15,Team!$BL$2:$MK$128,75,FALSE)</f>
        <v>#N/A</v>
      </c>
      <c r="AL76" s="76" t="e">
        <f>HLOOKUP(Roster!$E$16,Team!$BL$2:$MK$128,75,FALSE)</f>
        <v>#N/A</v>
      </c>
      <c r="AM76" s="76" t="e">
        <f>HLOOKUP(Roster!$E$17,Team!$BL$2:$MK$128,75,FALSE)</f>
        <v>#N/A</v>
      </c>
      <c r="AN76" s="76" t="e">
        <f>HLOOKUP(Roster!$E$18,Team!$BL$2:$MK$128,75,FALSE)</f>
        <v>#N/A</v>
      </c>
      <c r="AO76" s="76" t="e">
        <f>HLOOKUP(Roster!$E$19,Team!$BL$2:$MK$128,75,FALSE)</f>
        <v>#N/A</v>
      </c>
      <c r="AP76" s="76" t="e">
        <f>HLOOKUP(Roster!$E$20,Team!$BL$2:$MK$128,75,FALSE)</f>
        <v>#N/A</v>
      </c>
      <c r="AR76" s="108">
        <f t="shared" si="17"/>
        <v>0</v>
      </c>
      <c r="AS76" s="108">
        <f t="shared" si="18"/>
        <v>0</v>
      </c>
      <c r="AT76" s="108">
        <f t="shared" si="19"/>
        <v>0</v>
      </c>
      <c r="AU76" s="108">
        <f t="shared" si="20"/>
        <v>0</v>
      </c>
      <c r="AV76" s="108">
        <f t="shared" si="21"/>
        <v>0</v>
      </c>
      <c r="AW76" s="108">
        <f t="shared" si="22"/>
        <v>0</v>
      </c>
      <c r="AX76" s="108">
        <f t="shared" si="23"/>
        <v>0</v>
      </c>
      <c r="AY76" s="108">
        <f t="shared" si="24"/>
        <v>0</v>
      </c>
      <c r="AZ76" s="108">
        <f t="shared" si="25"/>
        <v>0</v>
      </c>
      <c r="BA76" s="108">
        <f t="shared" si="26"/>
        <v>0</v>
      </c>
      <c r="BB76" s="108">
        <f t="shared" si="27"/>
        <v>0</v>
      </c>
      <c r="BC76" s="108">
        <f t="shared" si="28"/>
        <v>0</v>
      </c>
      <c r="BD76" s="108">
        <f t="shared" si="29"/>
        <v>0</v>
      </c>
      <c r="BE76" s="108">
        <f t="shared" si="30"/>
        <v>0</v>
      </c>
      <c r="BF76" s="108">
        <f t="shared" si="31"/>
        <v>0</v>
      </c>
      <c r="BG76" s="108">
        <f t="shared" si="32"/>
        <v>0</v>
      </c>
      <c r="BL76" s="74" t="s">
        <v>359</v>
      </c>
      <c r="BM76" s="75" t="s">
        <v>323</v>
      </c>
      <c r="BN76" s="74" t="s">
        <v>359</v>
      </c>
      <c r="BO76" s="74" t="s">
        <v>359</v>
      </c>
      <c r="BP76" s="74" t="s">
        <v>359</v>
      </c>
      <c r="BQ76" s="75"/>
      <c r="BR76" s="75" t="s">
        <v>323</v>
      </c>
      <c r="BS76" s="75" t="s">
        <v>323</v>
      </c>
      <c r="BT76" s="75" t="s">
        <v>323</v>
      </c>
      <c r="BU76" s="75" t="s">
        <v>323</v>
      </c>
      <c r="BV76" s="75"/>
      <c r="BW76" s="81" t="s">
        <v>311</v>
      </c>
      <c r="BX76" s="81" t="s">
        <v>335</v>
      </c>
      <c r="BY76" s="81" t="s">
        <v>335</v>
      </c>
      <c r="BZ76" s="81" t="s">
        <v>335</v>
      </c>
      <c r="CA76" s="81" t="s">
        <v>335</v>
      </c>
      <c r="CB76" s="81" t="s">
        <v>311</v>
      </c>
      <c r="CC76" s="77"/>
      <c r="CD76" s="74" t="s">
        <v>359</v>
      </c>
      <c r="CE76" s="81" t="s">
        <v>335</v>
      </c>
      <c r="CF76" s="74" t="s">
        <v>359</v>
      </c>
      <c r="CG76" s="81" t="s">
        <v>335</v>
      </c>
      <c r="CH76" s="74" t="s">
        <v>359</v>
      </c>
      <c r="CI76" s="77"/>
      <c r="CJ76" s="81" t="s">
        <v>335</v>
      </c>
      <c r="CK76" s="81" t="s">
        <v>311</v>
      </c>
      <c r="CL76" s="81" t="s">
        <v>335</v>
      </c>
      <c r="CM76" s="81" t="s">
        <v>335</v>
      </c>
      <c r="CN76" s="81" t="s">
        <v>335</v>
      </c>
      <c r="CO76" s="81" t="s">
        <v>311</v>
      </c>
      <c r="CP76" s="81" t="s">
        <v>335</v>
      </c>
      <c r="CQ76" s="81" t="s">
        <v>335</v>
      </c>
      <c r="CR76" s="81" t="s">
        <v>335</v>
      </c>
      <c r="CS76" s="81" t="s">
        <v>335</v>
      </c>
      <c r="CT76" s="81" t="s">
        <v>335</v>
      </c>
      <c r="CU76" s="81"/>
      <c r="CV76" s="75" t="s">
        <v>323</v>
      </c>
      <c r="CW76" s="75" t="s">
        <v>323</v>
      </c>
      <c r="CX76" s="75" t="s">
        <v>323</v>
      </c>
      <c r="CY76" s="75" t="s">
        <v>323</v>
      </c>
      <c r="CZ76" s="75" t="s">
        <v>323</v>
      </c>
      <c r="DA76" s="81"/>
      <c r="DB76" s="74" t="s">
        <v>359</v>
      </c>
      <c r="DC76" s="75" t="s">
        <v>323</v>
      </c>
      <c r="DD76" s="75" t="s">
        <v>323</v>
      </c>
      <c r="DE76" s="75" t="s">
        <v>323</v>
      </c>
      <c r="DF76" s="75" t="s">
        <v>323</v>
      </c>
      <c r="DG76" s="74" t="s">
        <v>359</v>
      </c>
      <c r="DH76" s="74"/>
      <c r="DI76" s="74" t="s">
        <v>359</v>
      </c>
      <c r="DJ76" s="75" t="s">
        <v>323</v>
      </c>
      <c r="DK76" s="75" t="s">
        <v>323</v>
      </c>
      <c r="DL76" s="74" t="s">
        <v>359</v>
      </c>
      <c r="DM76" s="74" t="s">
        <v>359</v>
      </c>
      <c r="DN76" s="74" t="s">
        <v>359</v>
      </c>
      <c r="DO76" s="74"/>
      <c r="DP76" s="74" t="s">
        <v>359</v>
      </c>
      <c r="DQ76" s="75" t="s">
        <v>323</v>
      </c>
      <c r="DR76" s="74" t="s">
        <v>359</v>
      </c>
      <c r="DS76" s="75" t="s">
        <v>323</v>
      </c>
      <c r="DT76" s="74" t="s">
        <v>359</v>
      </c>
      <c r="DU76" s="74"/>
      <c r="DV76" s="75" t="s">
        <v>323</v>
      </c>
      <c r="DW76" s="75" t="s">
        <v>323</v>
      </c>
      <c r="DX76" s="74" t="s">
        <v>359</v>
      </c>
      <c r="DY76" s="74" t="s">
        <v>359</v>
      </c>
      <c r="DZ76" s="75" t="s">
        <v>323</v>
      </c>
      <c r="EA76" s="75" t="s">
        <v>323</v>
      </c>
      <c r="EB76" s="74" t="s">
        <v>359</v>
      </c>
      <c r="EC76" s="75" t="s">
        <v>323</v>
      </c>
      <c r="ED76" s="75" t="s">
        <v>323</v>
      </c>
      <c r="EE76" s="75"/>
      <c r="EF76" s="74" t="s">
        <v>359</v>
      </c>
      <c r="EG76" s="75" t="s">
        <v>323</v>
      </c>
      <c r="EH76" s="74" t="s">
        <v>359</v>
      </c>
      <c r="EI76" s="75" t="s">
        <v>323</v>
      </c>
      <c r="EJ76" s="74" t="s">
        <v>359</v>
      </c>
      <c r="EK76" s="74"/>
      <c r="EL76" s="75" t="s">
        <v>323</v>
      </c>
      <c r="EM76" s="75" t="s">
        <v>323</v>
      </c>
      <c r="EN76" s="74" t="s">
        <v>359</v>
      </c>
      <c r="EO76" s="75" t="s">
        <v>323</v>
      </c>
      <c r="EP76" s="75" t="s">
        <v>323</v>
      </c>
      <c r="EQ76" s="74"/>
      <c r="ER76" s="74" t="s">
        <v>359</v>
      </c>
      <c r="ES76" s="75" t="s">
        <v>323</v>
      </c>
      <c r="ET76" s="75" t="s">
        <v>323</v>
      </c>
      <c r="EU76" s="75" t="s">
        <v>323</v>
      </c>
      <c r="EV76" s="74" t="s">
        <v>359</v>
      </c>
      <c r="EW76" s="74" t="s">
        <v>359</v>
      </c>
      <c r="EX76" s="74" t="s">
        <v>359</v>
      </c>
      <c r="EY76" s="74"/>
      <c r="EZ76" s="74" t="s">
        <v>359</v>
      </c>
      <c r="FA76" s="75" t="s">
        <v>323</v>
      </c>
      <c r="FB76" s="75" t="s">
        <v>323</v>
      </c>
      <c r="FC76" s="74" t="s">
        <v>359</v>
      </c>
      <c r="FD76" s="74" t="s">
        <v>359</v>
      </c>
      <c r="FE76" s="74" t="s">
        <v>359</v>
      </c>
      <c r="FF76" s="74"/>
      <c r="FG76" s="81" t="s">
        <v>335</v>
      </c>
      <c r="FH76" s="81" t="s">
        <v>311</v>
      </c>
      <c r="FI76" s="81" t="s">
        <v>335</v>
      </c>
      <c r="FJ76" s="81" t="s">
        <v>335</v>
      </c>
      <c r="FK76" s="81" t="s">
        <v>335</v>
      </c>
      <c r="FL76" s="74"/>
      <c r="FM76" s="75" t="s">
        <v>323</v>
      </c>
      <c r="FN76" s="75" t="s">
        <v>323</v>
      </c>
      <c r="FO76" s="74" t="s">
        <v>359</v>
      </c>
      <c r="FP76" s="74" t="s">
        <v>359</v>
      </c>
      <c r="FQ76" s="75" t="s">
        <v>323</v>
      </c>
      <c r="FR76" s="75"/>
      <c r="FS76" s="74" t="s">
        <v>359</v>
      </c>
      <c r="FT76" s="75" t="s">
        <v>323</v>
      </c>
      <c r="FU76" s="74" t="s">
        <v>359</v>
      </c>
      <c r="FV76" s="75" t="s">
        <v>323</v>
      </c>
      <c r="FW76" s="74" t="s">
        <v>359</v>
      </c>
      <c r="FX76" s="74" t="s">
        <v>359</v>
      </c>
      <c r="FY76" s="74"/>
      <c r="FZ76" s="75" t="s">
        <v>323</v>
      </c>
      <c r="GA76" s="75"/>
      <c r="GB76" s="75" t="s">
        <v>323</v>
      </c>
      <c r="GC76" s="75" t="s">
        <v>323</v>
      </c>
      <c r="GD76" s="74" t="s">
        <v>359</v>
      </c>
      <c r="GE76" s="74" t="s">
        <v>359</v>
      </c>
      <c r="GF76" s="75" t="s">
        <v>323</v>
      </c>
      <c r="GG76" s="74"/>
      <c r="GH76" s="81" t="s">
        <v>335</v>
      </c>
      <c r="GI76" s="81" t="s">
        <v>311</v>
      </c>
      <c r="GJ76" s="81" t="s">
        <v>335</v>
      </c>
      <c r="GK76" s="81" t="s">
        <v>335</v>
      </c>
      <c r="GL76" s="81" t="s">
        <v>335</v>
      </c>
      <c r="GM76" s="81"/>
      <c r="GO76" s="75" t="s">
        <v>323</v>
      </c>
      <c r="GP76" s="75" t="s">
        <v>323</v>
      </c>
      <c r="GS76" s="74" t="s">
        <v>359</v>
      </c>
      <c r="GT76" s="75" t="s">
        <v>323</v>
      </c>
      <c r="GU76" s="74" t="s">
        <v>359</v>
      </c>
      <c r="GV76" s="74" t="s">
        <v>359</v>
      </c>
      <c r="GW76" s="74" t="s">
        <v>359</v>
      </c>
      <c r="GX76" s="75" t="s">
        <v>323</v>
      </c>
      <c r="GY76" s="74" t="s">
        <v>359</v>
      </c>
      <c r="GZ76" s="74" t="s">
        <v>359</v>
      </c>
      <c r="HA76" s="74" t="s">
        <v>359</v>
      </c>
      <c r="HB76" s="74" t="s">
        <v>359</v>
      </c>
      <c r="HC76" s="75" t="s">
        <v>323</v>
      </c>
      <c r="HD76" s="74" t="s">
        <v>359</v>
      </c>
      <c r="HE76" s="74"/>
      <c r="HF76" s="74" t="s">
        <v>359</v>
      </c>
      <c r="HG76" s="75" t="s">
        <v>323</v>
      </c>
      <c r="HH76" s="75" t="s">
        <v>323</v>
      </c>
      <c r="HI76" s="74" t="s">
        <v>359</v>
      </c>
      <c r="HJ76" s="74" t="s">
        <v>359</v>
      </c>
      <c r="HK76" s="75" t="s">
        <v>323</v>
      </c>
      <c r="HL76" s="74" t="s">
        <v>359</v>
      </c>
      <c r="HM76" s="74"/>
      <c r="HN76" s="74" t="s">
        <v>359</v>
      </c>
      <c r="HO76" s="74" t="s">
        <v>359</v>
      </c>
      <c r="HP76" s="75" t="s">
        <v>323</v>
      </c>
      <c r="HQ76" s="75" t="s">
        <v>323</v>
      </c>
      <c r="HR76" s="74" t="s">
        <v>359</v>
      </c>
      <c r="HS76" s="74" t="s">
        <v>359</v>
      </c>
      <c r="HT76" s="74"/>
      <c r="HU76" s="74" t="s">
        <v>359</v>
      </c>
      <c r="HV76" s="75" t="s">
        <v>323</v>
      </c>
      <c r="HW76" s="74" t="s">
        <v>359</v>
      </c>
      <c r="HX76" s="74" t="s">
        <v>359</v>
      </c>
      <c r="HY76" s="74" t="s">
        <v>359</v>
      </c>
      <c r="HZ76" s="74" t="s">
        <v>359</v>
      </c>
      <c r="IA76" s="74"/>
      <c r="IB76" s="81" t="s">
        <v>335</v>
      </c>
      <c r="IC76" s="81" t="s">
        <v>311</v>
      </c>
      <c r="ID76" s="81" t="s">
        <v>311</v>
      </c>
      <c r="IE76" s="81" t="s">
        <v>311</v>
      </c>
      <c r="IF76" s="81" t="s">
        <v>335</v>
      </c>
      <c r="IG76" s="81" t="s">
        <v>335</v>
      </c>
      <c r="IH76" s="81"/>
      <c r="II76" s="75" t="s">
        <v>323</v>
      </c>
      <c r="IJ76" s="75" t="s">
        <v>323</v>
      </c>
      <c r="IK76" s="75" t="s">
        <v>323</v>
      </c>
      <c r="IL76" s="75" t="s">
        <v>323</v>
      </c>
      <c r="IM76" s="75" t="s">
        <v>323</v>
      </c>
      <c r="IN76" s="81"/>
      <c r="IP76" s="74" t="s">
        <v>359</v>
      </c>
      <c r="IS76" s="74" t="s">
        <v>359</v>
      </c>
      <c r="IT76" s="75" t="s">
        <v>323</v>
      </c>
      <c r="IW76" s="74" t="s">
        <v>359</v>
      </c>
      <c r="IX76" s="74" t="s">
        <v>359</v>
      </c>
      <c r="IY76" s="75" t="s">
        <v>323</v>
      </c>
      <c r="IZ76" s="74" t="s">
        <v>359</v>
      </c>
      <c r="JA76" s="74" t="s">
        <v>359</v>
      </c>
      <c r="JC76" s="81" t="s">
        <v>335</v>
      </c>
      <c r="JD76" s="80" t="s">
        <v>359</v>
      </c>
      <c r="JE76" s="81" t="s">
        <v>335</v>
      </c>
      <c r="JF76" s="81" t="s">
        <v>311</v>
      </c>
      <c r="JG76" s="81" t="s">
        <v>311</v>
      </c>
      <c r="JH76" s="81" t="s">
        <v>311</v>
      </c>
      <c r="JI76" s="81" t="s">
        <v>311</v>
      </c>
      <c r="JJ76" s="81" t="s">
        <v>335</v>
      </c>
      <c r="JK76" s="81" t="s">
        <v>335</v>
      </c>
      <c r="JL76" s="81"/>
      <c r="JM76" s="74" t="s">
        <v>359</v>
      </c>
      <c r="JN76" s="75" t="s">
        <v>323</v>
      </c>
      <c r="JO76" s="74" t="s">
        <v>359</v>
      </c>
      <c r="JP76" s="81"/>
      <c r="JQ76" s="74" t="s">
        <v>359</v>
      </c>
      <c r="JR76" s="75" t="s">
        <v>323</v>
      </c>
      <c r="JS76" s="75" t="s">
        <v>323</v>
      </c>
      <c r="JT76" s="75" t="s">
        <v>323</v>
      </c>
      <c r="JU76" s="74" t="s">
        <v>359</v>
      </c>
      <c r="JV76" s="74" t="s">
        <v>359</v>
      </c>
    </row>
    <row r="77" spans="1:282" x14ac:dyDescent="0.15">
      <c r="A77" s="214" t="s">
        <v>111</v>
      </c>
      <c r="B77" s="6" t="s">
        <v>21</v>
      </c>
      <c r="C77" s="6">
        <v>85000</v>
      </c>
      <c r="D77" s="6">
        <v>4</v>
      </c>
      <c r="E77" s="6">
        <v>7</v>
      </c>
      <c r="F77" s="6">
        <v>3</v>
      </c>
      <c r="G77" s="6" t="s">
        <v>36</v>
      </c>
      <c r="H77" s="6" t="s">
        <v>37</v>
      </c>
      <c r="I77" s="6" t="s">
        <v>46</v>
      </c>
      <c r="J77" s="21" t="s">
        <v>70</v>
      </c>
      <c r="K77" s="21">
        <v>1</v>
      </c>
      <c r="L77" s="21">
        <v>2</v>
      </c>
      <c r="M77" s="21">
        <v>1</v>
      </c>
      <c r="N77" s="21">
        <v>2</v>
      </c>
      <c r="O77" s="21">
        <v>0</v>
      </c>
      <c r="P77" s="21" t="str">
        <f>IF(TeamT[[#This Row],[General]]+TeamT[[#This Row],[Agility]]+TeamT[[#This Row],[Strength]]+TeamT[[#This Row],[Passing]]+TeamT[[#This Row],[Mutation]]&gt;0,IF(TeamT[[#This Row],[General]]=1,"G","")&amp;IF(TeamT[[#This Row],[Agility]]=1,"A","")&amp;IF(TeamT[[#This Row],[Strength]]=1,"S","")&amp;IF(TeamT[[#This Row],[Passing]]=1,"P","")&amp;IF(TeamT[[#This Row],[Mutation]]=1,"M",""),"Star")</f>
        <v>GS</v>
      </c>
      <c r="Q77" s="21" t="str">
        <f>IF(TeamT[[#This Row],[General]]=2,"G","")&amp;IF(TeamT[[#This Row],[Agility]]=2,"A","")&amp;IF(TeamT[[#This Row],[Strength]]=2,"S","")&amp;IF(TeamT[[#This Row],[Passing]]=2,"P","")&amp;IF(TeamT[[#This Row],[Mutation]]=2,"M","")</f>
        <v>AP</v>
      </c>
      <c r="R77" s="212"/>
      <c r="S77" s="21">
        <v>3</v>
      </c>
      <c r="T77" s="21">
        <v>4</v>
      </c>
      <c r="U77" s="21">
        <v>9</v>
      </c>
      <c r="AA77" s="76" t="e">
        <f>HLOOKUP(Roster!$E$5,Team!$BL$2:$MK$128,76,FALSE)</f>
        <v>#N/A</v>
      </c>
      <c r="AB77" s="76" t="e">
        <f>HLOOKUP(Roster!$E$6,Team!$BL$2:$MK$128,76,FALSE)</f>
        <v>#N/A</v>
      </c>
      <c r="AC77" s="76" t="e">
        <f>HLOOKUP(Roster!$E$7,Team!$BL$2:$MK$128,76,FALSE)</f>
        <v>#N/A</v>
      </c>
      <c r="AD77" s="76" t="e">
        <f>HLOOKUP(Roster!$E$8,Team!$BL$2:$MK$128,76,FALSE)</f>
        <v>#N/A</v>
      </c>
      <c r="AE77" s="76" t="e">
        <f>HLOOKUP(Roster!$E$9,Team!$BL$2:$MK$128,76,FALSE)</f>
        <v>#N/A</v>
      </c>
      <c r="AF77" s="76" t="e">
        <f>HLOOKUP(Roster!$E$10,Team!$BL$2:$MK$128,76,FALSE)</f>
        <v>#N/A</v>
      </c>
      <c r="AG77" s="76" t="e">
        <f>HLOOKUP(Roster!$E$11,Team!$BL$2:$MK$128,76,FALSE)</f>
        <v>#N/A</v>
      </c>
      <c r="AH77" s="76" t="e">
        <f>HLOOKUP(Roster!$E$12,Team!$BL$2:$MK$128,76,FALSE)</f>
        <v>#N/A</v>
      </c>
      <c r="AI77" s="76" t="e">
        <f>HLOOKUP(Roster!$E$13,Team!$BL$2:$MK$128,76,FALSE)</f>
        <v>#N/A</v>
      </c>
      <c r="AJ77" s="76" t="e">
        <f>HLOOKUP(Roster!$E$14,Team!$BL$2:$MK$128,76,FALSE)</f>
        <v>#N/A</v>
      </c>
      <c r="AK77" s="76" t="e">
        <f>HLOOKUP(Roster!$E$15,Team!$BL$2:$MK$128,76,FALSE)</f>
        <v>#N/A</v>
      </c>
      <c r="AL77" s="76" t="e">
        <f>HLOOKUP(Roster!$E$16,Team!$BL$2:$MK$128,76,FALSE)</f>
        <v>#N/A</v>
      </c>
      <c r="AM77" s="76" t="e">
        <f>HLOOKUP(Roster!$E$17,Team!$BL$2:$MK$128,76,FALSE)</f>
        <v>#N/A</v>
      </c>
      <c r="AN77" s="76" t="e">
        <f>HLOOKUP(Roster!$E$18,Team!$BL$2:$MK$128,76,FALSE)</f>
        <v>#N/A</v>
      </c>
      <c r="AO77" s="76" t="e">
        <f>HLOOKUP(Roster!$E$19,Team!$BL$2:$MK$128,76,FALSE)</f>
        <v>#N/A</v>
      </c>
      <c r="AP77" s="76" t="e">
        <f>HLOOKUP(Roster!$E$20,Team!$BL$2:$MK$128,76,FALSE)</f>
        <v>#N/A</v>
      </c>
      <c r="AR77" s="108">
        <f t="shared" si="17"/>
        <v>0</v>
      </c>
      <c r="AS77" s="108">
        <f t="shared" si="18"/>
        <v>0</v>
      </c>
      <c r="AT77" s="108">
        <f t="shared" si="19"/>
        <v>0</v>
      </c>
      <c r="AU77" s="108">
        <f t="shared" si="20"/>
        <v>0</v>
      </c>
      <c r="AV77" s="108">
        <f t="shared" si="21"/>
        <v>0</v>
      </c>
      <c r="AW77" s="108">
        <f t="shared" si="22"/>
        <v>0</v>
      </c>
      <c r="AX77" s="108">
        <f t="shared" si="23"/>
        <v>0</v>
      </c>
      <c r="AY77" s="108">
        <f t="shared" si="24"/>
        <v>0</v>
      </c>
      <c r="AZ77" s="108">
        <f t="shared" si="25"/>
        <v>0</v>
      </c>
      <c r="BA77" s="108">
        <f t="shared" si="26"/>
        <v>0</v>
      </c>
      <c r="BB77" s="108">
        <f t="shared" si="27"/>
        <v>0</v>
      </c>
      <c r="BC77" s="108">
        <f t="shared" si="28"/>
        <v>0</v>
      </c>
      <c r="BD77" s="108">
        <f t="shared" si="29"/>
        <v>0</v>
      </c>
      <c r="BE77" s="108">
        <f t="shared" si="30"/>
        <v>0</v>
      </c>
      <c r="BF77" s="108">
        <f t="shared" si="31"/>
        <v>0</v>
      </c>
      <c r="BG77" s="108">
        <f t="shared" si="32"/>
        <v>0</v>
      </c>
      <c r="BL77" s="75" t="s">
        <v>360</v>
      </c>
      <c r="BM77" s="74" t="s">
        <v>324</v>
      </c>
      <c r="BN77" s="75" t="s">
        <v>360</v>
      </c>
      <c r="BO77" s="75" t="s">
        <v>360</v>
      </c>
      <c r="BP77" s="75" t="s">
        <v>360</v>
      </c>
      <c r="BQ77" s="74"/>
      <c r="BR77" s="74" t="s">
        <v>324</v>
      </c>
      <c r="BS77" s="74" t="s">
        <v>324</v>
      </c>
      <c r="BT77" s="74" t="s">
        <v>324</v>
      </c>
      <c r="BU77" s="74" t="s">
        <v>324</v>
      </c>
      <c r="BV77" s="74"/>
      <c r="BW77" s="80" t="s">
        <v>312</v>
      </c>
      <c r="BX77" s="81" t="s">
        <v>336</v>
      </c>
      <c r="BY77" s="81" t="s">
        <v>336</v>
      </c>
      <c r="BZ77" s="81" t="s">
        <v>336</v>
      </c>
      <c r="CA77" s="81" t="s">
        <v>336</v>
      </c>
      <c r="CB77" s="80" t="s">
        <v>312</v>
      </c>
      <c r="CC77" s="77"/>
      <c r="CD77" s="75" t="s">
        <v>360</v>
      </c>
      <c r="CE77" s="81" t="s">
        <v>336</v>
      </c>
      <c r="CF77" s="75" t="s">
        <v>360</v>
      </c>
      <c r="CG77" s="81" t="s">
        <v>336</v>
      </c>
      <c r="CH77" s="75" t="s">
        <v>360</v>
      </c>
      <c r="CI77" s="77"/>
      <c r="CJ77" s="81" t="s">
        <v>336</v>
      </c>
      <c r="CK77" s="80" t="s">
        <v>312</v>
      </c>
      <c r="CL77" s="81" t="s">
        <v>336</v>
      </c>
      <c r="CM77" s="81" t="s">
        <v>336</v>
      </c>
      <c r="CN77" s="81" t="s">
        <v>336</v>
      </c>
      <c r="CO77" s="80" t="s">
        <v>312</v>
      </c>
      <c r="CP77" s="81" t="s">
        <v>336</v>
      </c>
      <c r="CQ77" s="81" t="s">
        <v>336</v>
      </c>
      <c r="CR77" s="81" t="s">
        <v>336</v>
      </c>
      <c r="CS77" s="81" t="s">
        <v>336</v>
      </c>
      <c r="CT77" s="81" t="s">
        <v>336</v>
      </c>
      <c r="CU77" s="81"/>
      <c r="CV77" s="74" t="s">
        <v>324</v>
      </c>
      <c r="CW77" s="74" t="s">
        <v>324</v>
      </c>
      <c r="CX77" s="74" t="s">
        <v>324</v>
      </c>
      <c r="CY77" s="74" t="s">
        <v>324</v>
      </c>
      <c r="CZ77" s="74" t="s">
        <v>324</v>
      </c>
      <c r="DA77" s="81"/>
      <c r="DB77" s="75" t="s">
        <v>360</v>
      </c>
      <c r="DC77" s="74" t="s">
        <v>324</v>
      </c>
      <c r="DD77" s="74" t="s">
        <v>324</v>
      </c>
      <c r="DE77" s="74" t="s">
        <v>324</v>
      </c>
      <c r="DF77" s="74" t="s">
        <v>324</v>
      </c>
      <c r="DG77" s="75" t="s">
        <v>360</v>
      </c>
      <c r="DH77" s="75"/>
      <c r="DI77" s="75" t="s">
        <v>360</v>
      </c>
      <c r="DJ77" s="74" t="s">
        <v>324</v>
      </c>
      <c r="DK77" s="74" t="s">
        <v>324</v>
      </c>
      <c r="DL77" s="75" t="s">
        <v>360</v>
      </c>
      <c r="DM77" s="75" t="s">
        <v>360</v>
      </c>
      <c r="DN77" s="75" t="s">
        <v>360</v>
      </c>
      <c r="DO77" s="75"/>
      <c r="DP77" s="75" t="s">
        <v>360</v>
      </c>
      <c r="DQ77" s="74" t="s">
        <v>324</v>
      </c>
      <c r="DR77" s="75" t="s">
        <v>360</v>
      </c>
      <c r="DS77" s="74" t="s">
        <v>324</v>
      </c>
      <c r="DT77" s="75" t="s">
        <v>360</v>
      </c>
      <c r="DU77" s="75"/>
      <c r="DV77" s="74" t="s">
        <v>324</v>
      </c>
      <c r="DW77" s="74" t="s">
        <v>324</v>
      </c>
      <c r="DX77" s="75" t="s">
        <v>360</v>
      </c>
      <c r="DY77" s="75" t="s">
        <v>360</v>
      </c>
      <c r="DZ77" s="74" t="s">
        <v>324</v>
      </c>
      <c r="EA77" s="74" t="s">
        <v>324</v>
      </c>
      <c r="EB77" s="75" t="s">
        <v>360</v>
      </c>
      <c r="EC77" s="74" t="s">
        <v>324</v>
      </c>
      <c r="ED77" s="74" t="s">
        <v>324</v>
      </c>
      <c r="EE77" s="74"/>
      <c r="EF77" s="75" t="s">
        <v>360</v>
      </c>
      <c r="EG77" s="74" t="s">
        <v>324</v>
      </c>
      <c r="EH77" s="75" t="s">
        <v>360</v>
      </c>
      <c r="EI77" s="74" t="s">
        <v>324</v>
      </c>
      <c r="EJ77" s="75" t="s">
        <v>360</v>
      </c>
      <c r="EK77" s="75"/>
      <c r="EL77" s="74" t="s">
        <v>324</v>
      </c>
      <c r="EM77" s="74" t="s">
        <v>324</v>
      </c>
      <c r="EN77" s="75" t="s">
        <v>360</v>
      </c>
      <c r="EO77" s="74" t="s">
        <v>324</v>
      </c>
      <c r="EP77" s="74" t="s">
        <v>324</v>
      </c>
      <c r="EQ77" s="75"/>
      <c r="ER77" s="75" t="s">
        <v>360</v>
      </c>
      <c r="ES77" s="74" t="s">
        <v>324</v>
      </c>
      <c r="ET77" s="74" t="s">
        <v>324</v>
      </c>
      <c r="EU77" s="74" t="s">
        <v>324</v>
      </c>
      <c r="EV77" s="75" t="s">
        <v>360</v>
      </c>
      <c r="EW77" s="75" t="s">
        <v>360</v>
      </c>
      <c r="EX77" s="75" t="s">
        <v>360</v>
      </c>
      <c r="EY77" s="75"/>
      <c r="EZ77" s="75" t="s">
        <v>360</v>
      </c>
      <c r="FA77" s="74" t="s">
        <v>324</v>
      </c>
      <c r="FB77" s="74" t="s">
        <v>324</v>
      </c>
      <c r="FC77" s="75" t="s">
        <v>360</v>
      </c>
      <c r="FD77" s="75" t="s">
        <v>360</v>
      </c>
      <c r="FE77" s="75" t="s">
        <v>360</v>
      </c>
      <c r="FF77" s="75"/>
      <c r="FG77" s="81" t="s">
        <v>336</v>
      </c>
      <c r="FH77" s="80" t="s">
        <v>312</v>
      </c>
      <c r="FI77" s="81" t="s">
        <v>336</v>
      </c>
      <c r="FJ77" s="81" t="s">
        <v>336</v>
      </c>
      <c r="FK77" s="81" t="s">
        <v>336</v>
      </c>
      <c r="FL77" s="75"/>
      <c r="FM77" s="74" t="s">
        <v>324</v>
      </c>
      <c r="FN77" s="74" t="s">
        <v>324</v>
      </c>
      <c r="FO77" s="75" t="s">
        <v>360</v>
      </c>
      <c r="FP77" s="75" t="s">
        <v>360</v>
      </c>
      <c r="FQ77" s="74" t="s">
        <v>324</v>
      </c>
      <c r="FR77" s="74"/>
      <c r="FS77" s="75" t="s">
        <v>360</v>
      </c>
      <c r="FT77" s="74" t="s">
        <v>324</v>
      </c>
      <c r="FU77" s="75" t="s">
        <v>360</v>
      </c>
      <c r="FV77" s="74" t="s">
        <v>324</v>
      </c>
      <c r="FW77" s="75" t="s">
        <v>360</v>
      </c>
      <c r="FX77" s="75" t="s">
        <v>360</v>
      </c>
      <c r="FY77" s="75"/>
      <c r="FZ77" s="74" t="s">
        <v>324</v>
      </c>
      <c r="GA77" s="74"/>
      <c r="GB77" s="74" t="s">
        <v>324</v>
      </c>
      <c r="GC77" s="74" t="s">
        <v>324</v>
      </c>
      <c r="GD77" s="75" t="s">
        <v>360</v>
      </c>
      <c r="GE77" s="75" t="s">
        <v>360</v>
      </c>
      <c r="GF77" s="74" t="s">
        <v>324</v>
      </c>
      <c r="GG77" s="75"/>
      <c r="GH77" s="81" t="s">
        <v>336</v>
      </c>
      <c r="GI77" s="80" t="s">
        <v>312</v>
      </c>
      <c r="GJ77" s="81" t="s">
        <v>336</v>
      </c>
      <c r="GK77" s="81" t="s">
        <v>336</v>
      </c>
      <c r="GL77" s="81" t="s">
        <v>336</v>
      </c>
      <c r="GM77" s="81"/>
      <c r="GO77" s="74" t="s">
        <v>324</v>
      </c>
      <c r="GP77" s="74" t="s">
        <v>324</v>
      </c>
      <c r="GS77" s="75" t="s">
        <v>360</v>
      </c>
      <c r="GT77" s="74" t="s">
        <v>324</v>
      </c>
      <c r="GU77" s="75" t="s">
        <v>360</v>
      </c>
      <c r="GV77" s="75" t="s">
        <v>360</v>
      </c>
      <c r="GW77" s="75" t="s">
        <v>360</v>
      </c>
      <c r="GX77" s="74" t="s">
        <v>324</v>
      </c>
      <c r="GY77" s="75" t="s">
        <v>360</v>
      </c>
      <c r="GZ77" s="75" t="s">
        <v>360</v>
      </c>
      <c r="HA77" s="75" t="s">
        <v>360</v>
      </c>
      <c r="HB77" s="75" t="s">
        <v>360</v>
      </c>
      <c r="HC77" s="74" t="s">
        <v>324</v>
      </c>
      <c r="HD77" s="75" t="s">
        <v>360</v>
      </c>
      <c r="HE77" s="75"/>
      <c r="HF77" s="75" t="s">
        <v>360</v>
      </c>
      <c r="HG77" s="74" t="s">
        <v>324</v>
      </c>
      <c r="HH77" s="74" t="s">
        <v>324</v>
      </c>
      <c r="HI77" s="75" t="s">
        <v>360</v>
      </c>
      <c r="HJ77" s="75" t="s">
        <v>360</v>
      </c>
      <c r="HK77" s="74" t="s">
        <v>324</v>
      </c>
      <c r="HL77" s="75" t="s">
        <v>360</v>
      </c>
      <c r="HM77" s="75"/>
      <c r="HN77" s="75" t="s">
        <v>360</v>
      </c>
      <c r="HO77" s="75" t="s">
        <v>360</v>
      </c>
      <c r="HP77" s="74" t="s">
        <v>324</v>
      </c>
      <c r="HQ77" s="74" t="s">
        <v>324</v>
      </c>
      <c r="HR77" s="75" t="s">
        <v>360</v>
      </c>
      <c r="HS77" s="75" t="s">
        <v>360</v>
      </c>
      <c r="HT77" s="75"/>
      <c r="HU77" s="75" t="s">
        <v>360</v>
      </c>
      <c r="HV77" s="74" t="s">
        <v>324</v>
      </c>
      <c r="HW77" s="75" t="s">
        <v>360</v>
      </c>
      <c r="HX77" s="75" t="s">
        <v>360</v>
      </c>
      <c r="HY77" s="75" t="s">
        <v>360</v>
      </c>
      <c r="HZ77" s="75" t="s">
        <v>360</v>
      </c>
      <c r="IA77" s="75"/>
      <c r="IB77" s="81" t="s">
        <v>336</v>
      </c>
      <c r="IC77" s="80" t="s">
        <v>312</v>
      </c>
      <c r="ID77" s="80" t="s">
        <v>312</v>
      </c>
      <c r="IE77" s="80" t="s">
        <v>312</v>
      </c>
      <c r="IF77" s="81" t="s">
        <v>336</v>
      </c>
      <c r="IG77" s="81" t="s">
        <v>336</v>
      </c>
      <c r="IH77" s="81"/>
      <c r="II77" s="74" t="s">
        <v>324</v>
      </c>
      <c r="IJ77" s="74" t="s">
        <v>324</v>
      </c>
      <c r="IK77" s="74" t="s">
        <v>324</v>
      </c>
      <c r="IL77" s="74" t="s">
        <v>324</v>
      </c>
      <c r="IM77" s="74" t="s">
        <v>324</v>
      </c>
      <c r="IN77" s="81"/>
      <c r="IP77" s="75" t="s">
        <v>360</v>
      </c>
      <c r="IS77" s="75" t="s">
        <v>360</v>
      </c>
      <c r="IT77" s="74" t="s">
        <v>324</v>
      </c>
      <c r="IW77" s="75" t="s">
        <v>360</v>
      </c>
      <c r="IX77" s="75" t="s">
        <v>360</v>
      </c>
      <c r="IY77" s="74" t="s">
        <v>324</v>
      </c>
      <c r="IZ77" s="75" t="s">
        <v>360</v>
      </c>
      <c r="JA77" s="75" t="s">
        <v>360</v>
      </c>
      <c r="JC77" s="81" t="s">
        <v>336</v>
      </c>
      <c r="JD77" s="81" t="s">
        <v>360</v>
      </c>
      <c r="JE77" s="81" t="s">
        <v>336</v>
      </c>
      <c r="JF77" s="80" t="s">
        <v>312</v>
      </c>
      <c r="JG77" s="80" t="s">
        <v>312</v>
      </c>
      <c r="JH77" s="80" t="s">
        <v>312</v>
      </c>
      <c r="JI77" s="80" t="s">
        <v>312</v>
      </c>
      <c r="JJ77" s="81" t="s">
        <v>336</v>
      </c>
      <c r="JK77" s="81" t="s">
        <v>336</v>
      </c>
      <c r="JL77" s="81"/>
      <c r="JM77" s="75" t="s">
        <v>360</v>
      </c>
      <c r="JN77" s="74" t="s">
        <v>324</v>
      </c>
      <c r="JO77" s="75" t="s">
        <v>360</v>
      </c>
      <c r="JP77" s="81"/>
      <c r="JQ77" s="75" t="s">
        <v>360</v>
      </c>
      <c r="JR77" s="74" t="s">
        <v>324</v>
      </c>
      <c r="JS77" s="74" t="s">
        <v>324</v>
      </c>
      <c r="JT77" s="74" t="s">
        <v>324</v>
      </c>
      <c r="JU77" s="75" t="s">
        <v>360</v>
      </c>
      <c r="JV77" s="75" t="s">
        <v>360</v>
      </c>
    </row>
    <row r="78" spans="1:282" x14ac:dyDescent="0.15">
      <c r="A78" s="214" t="s">
        <v>112</v>
      </c>
      <c r="B78" s="6" t="s">
        <v>21</v>
      </c>
      <c r="C78" s="6">
        <v>30000</v>
      </c>
      <c r="D78" s="6">
        <v>3</v>
      </c>
      <c r="E78" s="6">
        <v>5</v>
      </c>
      <c r="F78" s="6">
        <v>2</v>
      </c>
      <c r="G78" s="6" t="s">
        <v>36</v>
      </c>
      <c r="H78" s="6" t="s">
        <v>37</v>
      </c>
      <c r="I78" s="6" t="s">
        <v>103</v>
      </c>
      <c r="J78" s="21" t="s">
        <v>95</v>
      </c>
      <c r="K78" s="21">
        <v>2</v>
      </c>
      <c r="L78" s="21">
        <v>1</v>
      </c>
      <c r="M78" s="21">
        <v>2</v>
      </c>
      <c r="N78" s="21">
        <v>0</v>
      </c>
      <c r="O78" s="21">
        <v>0</v>
      </c>
      <c r="P78" s="21" t="str">
        <f>IF(TeamT[[#This Row],[General]]+TeamT[[#This Row],[Agility]]+TeamT[[#This Row],[Strength]]+TeamT[[#This Row],[Passing]]+TeamT[[#This Row],[Mutation]]&gt;0,IF(TeamT[[#This Row],[General]]=1,"G","")&amp;IF(TeamT[[#This Row],[Agility]]=1,"A","")&amp;IF(TeamT[[#This Row],[Strength]]=1,"S","")&amp;IF(TeamT[[#This Row],[Passing]]=1,"P","")&amp;IF(TeamT[[#This Row],[Mutation]]=1,"M",""),"Star")</f>
        <v>A</v>
      </c>
      <c r="Q78" s="21" t="str">
        <f>IF(TeamT[[#This Row],[General]]=2,"G","")&amp;IF(TeamT[[#This Row],[Agility]]=2,"A","")&amp;IF(TeamT[[#This Row],[Strength]]=2,"S","")&amp;IF(TeamT[[#This Row],[Passing]]=2,"P","")&amp;IF(TeamT[[#This Row],[Mutation]]=2,"M","")</f>
        <v>GS</v>
      </c>
      <c r="R78" s="212"/>
      <c r="S78" s="21">
        <v>3</v>
      </c>
      <c r="T78" s="21">
        <v>4</v>
      </c>
      <c r="U78" s="21">
        <v>7</v>
      </c>
      <c r="AA78" s="76" t="e">
        <f>HLOOKUP(Roster!$E$5,Team!$BL$2:$MK$128,77,FALSE)</f>
        <v>#N/A</v>
      </c>
      <c r="AB78" s="76" t="e">
        <f>HLOOKUP(Roster!$E$6,Team!$BL$2:$MK$128,77,FALSE)</f>
        <v>#N/A</v>
      </c>
      <c r="AC78" s="76" t="e">
        <f>HLOOKUP(Roster!$E$7,Team!$BL$2:$MK$128,77,FALSE)</f>
        <v>#N/A</v>
      </c>
      <c r="AD78" s="76" t="e">
        <f>HLOOKUP(Roster!$E$8,Team!$BL$2:$MK$128,77,FALSE)</f>
        <v>#N/A</v>
      </c>
      <c r="AE78" s="76" t="e">
        <f>HLOOKUP(Roster!$E$9,Team!$BL$2:$MK$128,77,FALSE)</f>
        <v>#N/A</v>
      </c>
      <c r="AF78" s="76" t="e">
        <f>HLOOKUP(Roster!$E$10,Team!$BL$2:$MK$128,77,FALSE)</f>
        <v>#N/A</v>
      </c>
      <c r="AG78" s="76" t="e">
        <f>HLOOKUP(Roster!$E$11,Team!$BL$2:$MK$128,77,FALSE)</f>
        <v>#N/A</v>
      </c>
      <c r="AH78" s="76" t="e">
        <f>HLOOKUP(Roster!$E$12,Team!$BL$2:$MK$128,77,FALSE)</f>
        <v>#N/A</v>
      </c>
      <c r="AI78" s="76" t="e">
        <f>HLOOKUP(Roster!$E$13,Team!$BL$2:$MK$128,77,FALSE)</f>
        <v>#N/A</v>
      </c>
      <c r="AJ78" s="76" t="e">
        <f>HLOOKUP(Roster!$E$14,Team!$BL$2:$MK$128,77,FALSE)</f>
        <v>#N/A</v>
      </c>
      <c r="AK78" s="76" t="e">
        <f>HLOOKUP(Roster!$E$15,Team!$BL$2:$MK$128,77,FALSE)</f>
        <v>#N/A</v>
      </c>
      <c r="AL78" s="76" t="e">
        <f>HLOOKUP(Roster!$E$16,Team!$BL$2:$MK$128,77,FALSE)</f>
        <v>#N/A</v>
      </c>
      <c r="AM78" s="76" t="e">
        <f>HLOOKUP(Roster!$E$17,Team!$BL$2:$MK$128,77,FALSE)</f>
        <v>#N/A</v>
      </c>
      <c r="AN78" s="76" t="e">
        <f>HLOOKUP(Roster!$E$18,Team!$BL$2:$MK$128,77,FALSE)</f>
        <v>#N/A</v>
      </c>
      <c r="AO78" s="76" t="e">
        <f>HLOOKUP(Roster!$E$19,Team!$BL$2:$MK$128,77,FALSE)</f>
        <v>#N/A</v>
      </c>
      <c r="AP78" s="76" t="e">
        <f>HLOOKUP(Roster!$E$20,Team!$BL$2:$MK$128,77,FALSE)</f>
        <v>#N/A</v>
      </c>
      <c r="AR78" s="108">
        <f t="shared" si="17"/>
        <v>0</v>
      </c>
      <c r="AS78" s="108">
        <f t="shared" si="18"/>
        <v>0</v>
      </c>
      <c r="AT78" s="108">
        <f t="shared" si="19"/>
        <v>0</v>
      </c>
      <c r="AU78" s="108">
        <f t="shared" si="20"/>
        <v>0</v>
      </c>
      <c r="AV78" s="108">
        <f t="shared" si="21"/>
        <v>0</v>
      </c>
      <c r="AW78" s="108">
        <f t="shared" si="22"/>
        <v>0</v>
      </c>
      <c r="AX78" s="108">
        <f t="shared" si="23"/>
        <v>0</v>
      </c>
      <c r="AY78" s="108">
        <f t="shared" si="24"/>
        <v>0</v>
      </c>
      <c r="AZ78" s="108">
        <f t="shared" si="25"/>
        <v>0</v>
      </c>
      <c r="BA78" s="108">
        <f t="shared" si="26"/>
        <v>0</v>
      </c>
      <c r="BB78" s="108">
        <f t="shared" si="27"/>
        <v>0</v>
      </c>
      <c r="BC78" s="108">
        <f t="shared" si="28"/>
        <v>0</v>
      </c>
      <c r="BD78" s="108">
        <f t="shared" si="29"/>
        <v>0</v>
      </c>
      <c r="BE78" s="108">
        <f t="shared" si="30"/>
        <v>0</v>
      </c>
      <c r="BF78" s="108">
        <f t="shared" si="31"/>
        <v>0</v>
      </c>
      <c r="BG78" s="108">
        <f t="shared" si="32"/>
        <v>0</v>
      </c>
      <c r="BL78" s="74" t="s">
        <v>361</v>
      </c>
      <c r="BM78" s="75" t="s">
        <v>325</v>
      </c>
      <c r="BN78" s="74" t="s">
        <v>361</v>
      </c>
      <c r="BO78" s="74" t="s">
        <v>361</v>
      </c>
      <c r="BP78" s="74" t="s">
        <v>361</v>
      </c>
      <c r="BQ78" s="75"/>
      <c r="BR78" s="75" t="s">
        <v>325</v>
      </c>
      <c r="BS78" s="75" t="s">
        <v>325</v>
      </c>
      <c r="BT78" s="75" t="s">
        <v>325</v>
      </c>
      <c r="BU78" s="75" t="s">
        <v>325</v>
      </c>
      <c r="BV78" s="75"/>
      <c r="BW78" s="81" t="s">
        <v>313</v>
      </c>
      <c r="BX78" s="81" t="s">
        <v>337</v>
      </c>
      <c r="BY78" s="81" t="s">
        <v>337</v>
      </c>
      <c r="BZ78" s="81" t="s">
        <v>337</v>
      </c>
      <c r="CA78" s="81" t="s">
        <v>337</v>
      </c>
      <c r="CB78" s="81" t="s">
        <v>313</v>
      </c>
      <c r="CC78" s="77"/>
      <c r="CD78" s="74" t="s">
        <v>361</v>
      </c>
      <c r="CE78" s="81" t="s">
        <v>337</v>
      </c>
      <c r="CF78" s="74" t="s">
        <v>361</v>
      </c>
      <c r="CG78" s="81" t="s">
        <v>337</v>
      </c>
      <c r="CH78" s="74" t="s">
        <v>361</v>
      </c>
      <c r="CI78" s="77"/>
      <c r="CJ78" s="81" t="s">
        <v>337</v>
      </c>
      <c r="CK78" s="81" t="s">
        <v>313</v>
      </c>
      <c r="CL78" s="81" t="s">
        <v>337</v>
      </c>
      <c r="CM78" s="81" t="s">
        <v>337</v>
      </c>
      <c r="CN78" s="81" t="s">
        <v>337</v>
      </c>
      <c r="CO78" s="81" t="s">
        <v>313</v>
      </c>
      <c r="CP78" s="81" t="s">
        <v>337</v>
      </c>
      <c r="CQ78" s="81" t="s">
        <v>337</v>
      </c>
      <c r="CR78" s="81" t="s">
        <v>337</v>
      </c>
      <c r="CS78" s="81" t="s">
        <v>337</v>
      </c>
      <c r="CT78" s="81" t="s">
        <v>337</v>
      </c>
      <c r="CU78" s="81"/>
      <c r="CV78" s="75" t="s">
        <v>325</v>
      </c>
      <c r="CW78" s="75" t="s">
        <v>325</v>
      </c>
      <c r="CX78" s="75" t="s">
        <v>325</v>
      </c>
      <c r="CY78" s="75" t="s">
        <v>325</v>
      </c>
      <c r="CZ78" s="75" t="s">
        <v>325</v>
      </c>
      <c r="DA78" s="81"/>
      <c r="DB78" s="74" t="s">
        <v>361</v>
      </c>
      <c r="DC78" s="75" t="s">
        <v>325</v>
      </c>
      <c r="DD78" s="75" t="s">
        <v>325</v>
      </c>
      <c r="DE78" s="75" t="s">
        <v>325</v>
      </c>
      <c r="DF78" s="75" t="s">
        <v>325</v>
      </c>
      <c r="DG78" s="74" t="s">
        <v>361</v>
      </c>
      <c r="DH78" s="74"/>
      <c r="DI78" s="74" t="s">
        <v>361</v>
      </c>
      <c r="DJ78" s="75" t="s">
        <v>325</v>
      </c>
      <c r="DK78" s="75" t="s">
        <v>325</v>
      </c>
      <c r="DL78" s="74" t="s">
        <v>361</v>
      </c>
      <c r="DM78" s="74" t="s">
        <v>361</v>
      </c>
      <c r="DN78" s="74" t="s">
        <v>361</v>
      </c>
      <c r="DO78" s="74"/>
      <c r="DP78" s="74" t="s">
        <v>361</v>
      </c>
      <c r="DQ78" s="75" t="s">
        <v>325</v>
      </c>
      <c r="DR78" s="74" t="s">
        <v>361</v>
      </c>
      <c r="DS78" s="75" t="s">
        <v>325</v>
      </c>
      <c r="DT78" s="74" t="s">
        <v>361</v>
      </c>
      <c r="DU78" s="74"/>
      <c r="DV78" s="75" t="s">
        <v>325</v>
      </c>
      <c r="DW78" s="75" t="s">
        <v>325</v>
      </c>
      <c r="DX78" s="74" t="s">
        <v>361</v>
      </c>
      <c r="DY78" s="74" t="s">
        <v>361</v>
      </c>
      <c r="DZ78" s="75" t="s">
        <v>325</v>
      </c>
      <c r="EA78" s="75" t="s">
        <v>325</v>
      </c>
      <c r="EB78" s="74" t="s">
        <v>361</v>
      </c>
      <c r="EC78" s="75" t="s">
        <v>325</v>
      </c>
      <c r="ED78" s="75" t="s">
        <v>325</v>
      </c>
      <c r="EE78" s="75"/>
      <c r="EF78" s="74" t="s">
        <v>361</v>
      </c>
      <c r="EG78" s="75" t="s">
        <v>325</v>
      </c>
      <c r="EH78" s="74" t="s">
        <v>361</v>
      </c>
      <c r="EI78" s="75" t="s">
        <v>325</v>
      </c>
      <c r="EJ78" s="74" t="s">
        <v>361</v>
      </c>
      <c r="EK78" s="74"/>
      <c r="EL78" s="75" t="s">
        <v>325</v>
      </c>
      <c r="EM78" s="75" t="s">
        <v>325</v>
      </c>
      <c r="EN78" s="74" t="s">
        <v>361</v>
      </c>
      <c r="EO78" s="75" t="s">
        <v>325</v>
      </c>
      <c r="EP78" s="75" t="s">
        <v>325</v>
      </c>
      <c r="EQ78" s="74"/>
      <c r="ER78" s="74" t="s">
        <v>361</v>
      </c>
      <c r="ES78" s="75" t="s">
        <v>325</v>
      </c>
      <c r="ET78" s="75" t="s">
        <v>325</v>
      </c>
      <c r="EU78" s="75" t="s">
        <v>325</v>
      </c>
      <c r="EV78" s="74" t="s">
        <v>361</v>
      </c>
      <c r="EW78" s="74" t="s">
        <v>361</v>
      </c>
      <c r="EX78" s="74" t="s">
        <v>361</v>
      </c>
      <c r="EY78" s="74"/>
      <c r="EZ78" s="74" t="s">
        <v>361</v>
      </c>
      <c r="FA78" s="75" t="s">
        <v>325</v>
      </c>
      <c r="FB78" s="75" t="s">
        <v>325</v>
      </c>
      <c r="FC78" s="74" t="s">
        <v>361</v>
      </c>
      <c r="FD78" s="74" t="s">
        <v>361</v>
      </c>
      <c r="FE78" s="74" t="s">
        <v>361</v>
      </c>
      <c r="FF78" s="74"/>
      <c r="FG78" s="81" t="s">
        <v>337</v>
      </c>
      <c r="FH78" s="81" t="s">
        <v>313</v>
      </c>
      <c r="FI78" s="81" t="s">
        <v>337</v>
      </c>
      <c r="FJ78" s="81" t="s">
        <v>337</v>
      </c>
      <c r="FK78" s="81" t="s">
        <v>337</v>
      </c>
      <c r="FL78" s="74"/>
      <c r="FM78" s="75" t="s">
        <v>325</v>
      </c>
      <c r="FN78" s="75" t="s">
        <v>325</v>
      </c>
      <c r="FO78" s="74" t="s">
        <v>361</v>
      </c>
      <c r="FP78" s="74" t="s">
        <v>361</v>
      </c>
      <c r="FQ78" s="75" t="s">
        <v>325</v>
      </c>
      <c r="FR78" s="75"/>
      <c r="FS78" s="74" t="s">
        <v>361</v>
      </c>
      <c r="FT78" s="75" t="s">
        <v>325</v>
      </c>
      <c r="FU78" s="74" t="s">
        <v>361</v>
      </c>
      <c r="FV78" s="75" t="s">
        <v>325</v>
      </c>
      <c r="FW78" s="74" t="s">
        <v>361</v>
      </c>
      <c r="FX78" s="74" t="s">
        <v>361</v>
      </c>
      <c r="FY78" s="74"/>
      <c r="FZ78" s="75" t="s">
        <v>325</v>
      </c>
      <c r="GA78" s="75"/>
      <c r="GB78" s="75" t="s">
        <v>325</v>
      </c>
      <c r="GC78" s="75" t="s">
        <v>325</v>
      </c>
      <c r="GD78" s="74" t="s">
        <v>361</v>
      </c>
      <c r="GE78" s="74" t="s">
        <v>361</v>
      </c>
      <c r="GF78" s="75" t="s">
        <v>325</v>
      </c>
      <c r="GG78" s="74"/>
      <c r="GH78" s="81" t="s">
        <v>337</v>
      </c>
      <c r="GI78" s="81" t="s">
        <v>313</v>
      </c>
      <c r="GJ78" s="81" t="s">
        <v>337</v>
      </c>
      <c r="GK78" s="81" t="s">
        <v>337</v>
      </c>
      <c r="GL78" s="81" t="s">
        <v>337</v>
      </c>
      <c r="GM78" s="81"/>
      <c r="GO78" s="75" t="s">
        <v>325</v>
      </c>
      <c r="GP78" s="75" t="s">
        <v>325</v>
      </c>
      <c r="GS78" s="74" t="s">
        <v>361</v>
      </c>
      <c r="GT78" s="75" t="s">
        <v>325</v>
      </c>
      <c r="GU78" s="74" t="s">
        <v>361</v>
      </c>
      <c r="GV78" s="74" t="s">
        <v>361</v>
      </c>
      <c r="GW78" s="74" t="s">
        <v>361</v>
      </c>
      <c r="GX78" s="75" t="s">
        <v>325</v>
      </c>
      <c r="GY78" s="74" t="s">
        <v>361</v>
      </c>
      <c r="GZ78" s="74" t="s">
        <v>361</v>
      </c>
      <c r="HA78" s="74" t="s">
        <v>361</v>
      </c>
      <c r="HB78" s="74" t="s">
        <v>361</v>
      </c>
      <c r="HC78" s="75" t="s">
        <v>325</v>
      </c>
      <c r="HD78" s="74" t="s">
        <v>361</v>
      </c>
      <c r="HE78" s="74"/>
      <c r="HF78" s="74" t="s">
        <v>361</v>
      </c>
      <c r="HG78" s="75" t="s">
        <v>325</v>
      </c>
      <c r="HH78" s="75" t="s">
        <v>325</v>
      </c>
      <c r="HI78" s="74" t="s">
        <v>361</v>
      </c>
      <c r="HJ78" s="74" t="s">
        <v>361</v>
      </c>
      <c r="HK78" s="75" t="s">
        <v>325</v>
      </c>
      <c r="HL78" s="74" t="s">
        <v>361</v>
      </c>
      <c r="HM78" s="74"/>
      <c r="HN78" s="74" t="s">
        <v>361</v>
      </c>
      <c r="HO78" s="74" t="s">
        <v>361</v>
      </c>
      <c r="HP78" s="75" t="s">
        <v>325</v>
      </c>
      <c r="HQ78" s="75" t="s">
        <v>325</v>
      </c>
      <c r="HR78" s="74" t="s">
        <v>361</v>
      </c>
      <c r="HS78" s="74" t="s">
        <v>361</v>
      </c>
      <c r="HT78" s="74"/>
      <c r="HU78" s="74" t="s">
        <v>361</v>
      </c>
      <c r="HV78" s="75" t="s">
        <v>325</v>
      </c>
      <c r="HW78" s="74" t="s">
        <v>361</v>
      </c>
      <c r="HX78" s="74" t="s">
        <v>361</v>
      </c>
      <c r="HY78" s="74" t="s">
        <v>361</v>
      </c>
      <c r="HZ78" s="74" t="s">
        <v>361</v>
      </c>
      <c r="IA78" s="74"/>
      <c r="IB78" s="81" t="s">
        <v>337</v>
      </c>
      <c r="IC78" s="81" t="s">
        <v>313</v>
      </c>
      <c r="ID78" s="81" t="s">
        <v>313</v>
      </c>
      <c r="IE78" s="81" t="s">
        <v>313</v>
      </c>
      <c r="IF78" s="81" t="s">
        <v>337</v>
      </c>
      <c r="IG78" s="81" t="s">
        <v>337</v>
      </c>
      <c r="IH78" s="81"/>
      <c r="II78" s="75" t="s">
        <v>325</v>
      </c>
      <c r="IJ78" s="75" t="s">
        <v>325</v>
      </c>
      <c r="IK78" s="75" t="s">
        <v>325</v>
      </c>
      <c r="IL78" s="75" t="s">
        <v>325</v>
      </c>
      <c r="IM78" s="75" t="s">
        <v>325</v>
      </c>
      <c r="IN78" s="81"/>
      <c r="IP78" s="74" t="s">
        <v>361</v>
      </c>
      <c r="IS78" s="74" t="s">
        <v>361</v>
      </c>
      <c r="IT78" s="75" t="s">
        <v>325</v>
      </c>
      <c r="IW78" s="74" t="s">
        <v>361</v>
      </c>
      <c r="IX78" s="74" t="s">
        <v>361</v>
      </c>
      <c r="IY78" s="75" t="s">
        <v>325</v>
      </c>
      <c r="IZ78" s="74" t="s">
        <v>361</v>
      </c>
      <c r="JA78" s="74" t="s">
        <v>361</v>
      </c>
      <c r="JC78" s="81" t="s">
        <v>337</v>
      </c>
      <c r="JD78" s="80" t="s">
        <v>361</v>
      </c>
      <c r="JE78" s="81" t="s">
        <v>337</v>
      </c>
      <c r="JF78" s="81" t="s">
        <v>313</v>
      </c>
      <c r="JG78" s="81" t="s">
        <v>313</v>
      </c>
      <c r="JH78" s="81" t="s">
        <v>313</v>
      </c>
      <c r="JI78" s="81" t="s">
        <v>313</v>
      </c>
      <c r="JJ78" s="81" t="s">
        <v>337</v>
      </c>
      <c r="JK78" s="81" t="s">
        <v>337</v>
      </c>
      <c r="JL78" s="81"/>
      <c r="JM78" s="74" t="s">
        <v>361</v>
      </c>
      <c r="JN78" s="75" t="s">
        <v>325</v>
      </c>
      <c r="JO78" s="74" t="s">
        <v>361</v>
      </c>
      <c r="JP78" s="81"/>
      <c r="JQ78" s="74" t="s">
        <v>361</v>
      </c>
      <c r="JR78" s="75" t="s">
        <v>325</v>
      </c>
      <c r="JS78" s="75" t="s">
        <v>325</v>
      </c>
      <c r="JT78" s="75" t="s">
        <v>325</v>
      </c>
      <c r="JU78" s="74" t="s">
        <v>361</v>
      </c>
      <c r="JV78" s="74" t="s">
        <v>361</v>
      </c>
    </row>
    <row r="79" spans="1:282" x14ac:dyDescent="0.15">
      <c r="A79" s="214" t="s">
        <v>24</v>
      </c>
      <c r="B79" s="6" t="s">
        <v>21</v>
      </c>
      <c r="C79" s="6">
        <v>140000</v>
      </c>
      <c r="D79" s="6">
        <v>1</v>
      </c>
      <c r="E79" s="6">
        <v>5</v>
      </c>
      <c r="F79" s="6">
        <v>5</v>
      </c>
      <c r="G79" s="6" t="s">
        <v>37</v>
      </c>
      <c r="H79" s="6" t="s">
        <v>40</v>
      </c>
      <c r="I79" s="6" t="s">
        <v>41</v>
      </c>
      <c r="J79" s="21" t="s">
        <v>52</v>
      </c>
      <c r="K79" s="21">
        <v>2</v>
      </c>
      <c r="L79" s="21">
        <v>2</v>
      </c>
      <c r="M79" s="21">
        <v>1</v>
      </c>
      <c r="N79" s="21">
        <v>0</v>
      </c>
      <c r="O79" s="21">
        <v>0</v>
      </c>
      <c r="P79" s="21" t="str">
        <f>IF(TeamT[[#This Row],[General]]+TeamT[[#This Row],[Agility]]+TeamT[[#This Row],[Strength]]+TeamT[[#This Row],[Passing]]+TeamT[[#This Row],[Mutation]]&gt;0,IF(TeamT[[#This Row],[General]]=1,"G","")&amp;IF(TeamT[[#This Row],[Agility]]=1,"A","")&amp;IF(TeamT[[#This Row],[Strength]]=1,"S","")&amp;IF(TeamT[[#This Row],[Passing]]=1,"P","")&amp;IF(TeamT[[#This Row],[Mutation]]=1,"M",""),"Star")</f>
        <v>S</v>
      </c>
      <c r="Q79" s="21" t="str">
        <f>IF(TeamT[[#This Row],[General]]=2,"G","")&amp;IF(TeamT[[#This Row],[Agility]]=2,"A","")&amp;IF(TeamT[[#This Row],[Strength]]=2,"S","")&amp;IF(TeamT[[#This Row],[Passing]]=2,"P","")&amp;IF(TeamT[[#This Row],[Mutation]]=2,"M","")</f>
        <v>GA</v>
      </c>
      <c r="R79" s="212"/>
      <c r="S79" s="21">
        <v>4</v>
      </c>
      <c r="T79" s="21">
        <v>5</v>
      </c>
      <c r="U79" s="21">
        <v>10</v>
      </c>
      <c r="AA79" s="76" t="e">
        <f>HLOOKUP(Roster!$E$5,Team!$BL$2:$MK$128,78,FALSE)</f>
        <v>#N/A</v>
      </c>
      <c r="AB79" s="76" t="e">
        <f>HLOOKUP(Roster!$E$6,Team!$BL$2:$MK$128,78,FALSE)</f>
        <v>#N/A</v>
      </c>
      <c r="AC79" s="76" t="e">
        <f>HLOOKUP(Roster!$E$7,Team!$BL$2:$MK$128,78,FALSE)</f>
        <v>#N/A</v>
      </c>
      <c r="AD79" s="76" t="e">
        <f>HLOOKUP(Roster!$E$8,Team!$BL$2:$MK$128,78,FALSE)</f>
        <v>#N/A</v>
      </c>
      <c r="AE79" s="76" t="e">
        <f>HLOOKUP(Roster!$E$9,Team!$BL$2:$MK$128,78,FALSE)</f>
        <v>#N/A</v>
      </c>
      <c r="AF79" s="76" t="e">
        <f>HLOOKUP(Roster!$E$10,Team!$BL$2:$MK$128,78,FALSE)</f>
        <v>#N/A</v>
      </c>
      <c r="AG79" s="76" t="e">
        <f>HLOOKUP(Roster!$E$11,Team!$BL$2:$MK$128,78,FALSE)</f>
        <v>#N/A</v>
      </c>
      <c r="AH79" s="76" t="e">
        <f>HLOOKUP(Roster!$E$12,Team!$BL$2:$MK$128,78,FALSE)</f>
        <v>#N/A</v>
      </c>
      <c r="AI79" s="76" t="e">
        <f>HLOOKUP(Roster!$E$13,Team!$BL$2:$MK$128,78,FALSE)</f>
        <v>#N/A</v>
      </c>
      <c r="AJ79" s="76" t="e">
        <f>HLOOKUP(Roster!$E$14,Team!$BL$2:$MK$128,78,FALSE)</f>
        <v>#N/A</v>
      </c>
      <c r="AK79" s="76" t="e">
        <f>HLOOKUP(Roster!$E$15,Team!$BL$2:$MK$128,78,FALSE)</f>
        <v>#N/A</v>
      </c>
      <c r="AL79" s="76" t="e">
        <f>HLOOKUP(Roster!$E$16,Team!$BL$2:$MK$128,78,FALSE)</f>
        <v>#N/A</v>
      </c>
      <c r="AM79" s="76" t="e">
        <f>HLOOKUP(Roster!$E$17,Team!$BL$2:$MK$128,78,FALSE)</f>
        <v>#N/A</v>
      </c>
      <c r="AN79" s="76" t="e">
        <f>HLOOKUP(Roster!$E$18,Team!$BL$2:$MK$128,78,FALSE)</f>
        <v>#N/A</v>
      </c>
      <c r="AO79" s="76" t="e">
        <f>HLOOKUP(Roster!$E$19,Team!$BL$2:$MK$128,78,FALSE)</f>
        <v>#N/A</v>
      </c>
      <c r="AP79" s="76" t="e">
        <f>HLOOKUP(Roster!$E$20,Team!$BL$2:$MK$128,78,FALSE)</f>
        <v>#N/A</v>
      </c>
      <c r="AR79" s="108">
        <f t="shared" si="17"/>
        <v>0</v>
      </c>
      <c r="AS79" s="108">
        <f t="shared" si="18"/>
        <v>0</v>
      </c>
      <c r="AT79" s="108">
        <f t="shared" si="19"/>
        <v>0</v>
      </c>
      <c r="AU79" s="108">
        <f t="shared" si="20"/>
        <v>0</v>
      </c>
      <c r="AV79" s="108">
        <f t="shared" si="21"/>
        <v>0</v>
      </c>
      <c r="AW79" s="108">
        <f t="shared" si="22"/>
        <v>0</v>
      </c>
      <c r="AX79" s="108">
        <f t="shared" si="23"/>
        <v>0</v>
      </c>
      <c r="AY79" s="108">
        <f t="shared" si="24"/>
        <v>0</v>
      </c>
      <c r="AZ79" s="108">
        <f t="shared" si="25"/>
        <v>0</v>
      </c>
      <c r="BA79" s="108">
        <f t="shared" si="26"/>
        <v>0</v>
      </c>
      <c r="BB79" s="108">
        <f t="shared" si="27"/>
        <v>0</v>
      </c>
      <c r="BC79" s="108">
        <f t="shared" si="28"/>
        <v>0</v>
      </c>
      <c r="BD79" s="108">
        <f t="shared" si="29"/>
        <v>0</v>
      </c>
      <c r="BE79" s="108">
        <f t="shared" si="30"/>
        <v>0</v>
      </c>
      <c r="BF79" s="108">
        <f t="shared" si="31"/>
        <v>0</v>
      </c>
      <c r="BG79" s="108">
        <f t="shared" si="32"/>
        <v>0</v>
      </c>
      <c r="BL79" s="75" t="s">
        <v>362</v>
      </c>
      <c r="BM79" s="74" t="s">
        <v>326</v>
      </c>
      <c r="BN79" s="75" t="s">
        <v>362</v>
      </c>
      <c r="BO79" s="75" t="s">
        <v>362</v>
      </c>
      <c r="BP79" s="75" t="s">
        <v>362</v>
      </c>
      <c r="BQ79" s="74"/>
      <c r="BR79" s="74" t="s">
        <v>326</v>
      </c>
      <c r="BS79" s="74" t="s">
        <v>326</v>
      </c>
      <c r="BT79" s="74" t="s">
        <v>326</v>
      </c>
      <c r="BU79" s="74" t="s">
        <v>326</v>
      </c>
      <c r="BV79" s="74"/>
      <c r="BW79" s="81" t="s">
        <v>314</v>
      </c>
      <c r="BX79" s="81" t="s">
        <v>338</v>
      </c>
      <c r="BY79" s="81" t="s">
        <v>338</v>
      </c>
      <c r="BZ79" s="81" t="s">
        <v>338</v>
      </c>
      <c r="CA79" s="81" t="s">
        <v>338</v>
      </c>
      <c r="CB79" s="81" t="s">
        <v>314</v>
      </c>
      <c r="CC79" s="77"/>
      <c r="CD79" s="75" t="s">
        <v>362</v>
      </c>
      <c r="CE79" s="81" t="s">
        <v>338</v>
      </c>
      <c r="CF79" s="75" t="s">
        <v>362</v>
      </c>
      <c r="CG79" s="81" t="s">
        <v>338</v>
      </c>
      <c r="CH79" s="75" t="s">
        <v>362</v>
      </c>
      <c r="CI79" s="77"/>
      <c r="CJ79" s="81" t="s">
        <v>338</v>
      </c>
      <c r="CK79" s="81" t="s">
        <v>314</v>
      </c>
      <c r="CL79" s="81" t="s">
        <v>338</v>
      </c>
      <c r="CM79" s="81" t="s">
        <v>338</v>
      </c>
      <c r="CN79" s="81" t="s">
        <v>338</v>
      </c>
      <c r="CO79" s="81" t="s">
        <v>314</v>
      </c>
      <c r="CP79" s="81" t="s">
        <v>338</v>
      </c>
      <c r="CQ79" s="81" t="s">
        <v>338</v>
      </c>
      <c r="CR79" s="81" t="s">
        <v>338</v>
      </c>
      <c r="CS79" s="81" t="s">
        <v>338</v>
      </c>
      <c r="CT79" s="81" t="s">
        <v>338</v>
      </c>
      <c r="CU79" s="81"/>
      <c r="CV79" s="74" t="s">
        <v>326</v>
      </c>
      <c r="CW79" s="74" t="s">
        <v>326</v>
      </c>
      <c r="CX79" s="74" t="s">
        <v>326</v>
      </c>
      <c r="CY79" s="74" t="s">
        <v>326</v>
      </c>
      <c r="CZ79" s="74" t="s">
        <v>326</v>
      </c>
      <c r="DA79" s="81"/>
      <c r="DB79" s="75" t="s">
        <v>362</v>
      </c>
      <c r="DC79" s="74" t="s">
        <v>326</v>
      </c>
      <c r="DD79" s="74" t="s">
        <v>326</v>
      </c>
      <c r="DE79" s="74" t="s">
        <v>326</v>
      </c>
      <c r="DF79" s="74" t="s">
        <v>326</v>
      </c>
      <c r="DG79" s="75" t="s">
        <v>362</v>
      </c>
      <c r="DH79" s="75"/>
      <c r="DI79" s="75" t="s">
        <v>362</v>
      </c>
      <c r="DJ79" s="74" t="s">
        <v>326</v>
      </c>
      <c r="DK79" s="74" t="s">
        <v>326</v>
      </c>
      <c r="DL79" s="75" t="s">
        <v>362</v>
      </c>
      <c r="DM79" s="75" t="s">
        <v>362</v>
      </c>
      <c r="DN79" s="75" t="s">
        <v>362</v>
      </c>
      <c r="DO79" s="75"/>
      <c r="DP79" s="75" t="s">
        <v>362</v>
      </c>
      <c r="DQ79" s="74" t="s">
        <v>326</v>
      </c>
      <c r="DR79" s="75" t="s">
        <v>362</v>
      </c>
      <c r="DS79" s="74" t="s">
        <v>326</v>
      </c>
      <c r="DT79" s="75" t="s">
        <v>362</v>
      </c>
      <c r="DU79" s="75"/>
      <c r="DV79" s="74" t="s">
        <v>326</v>
      </c>
      <c r="DW79" s="74" t="s">
        <v>326</v>
      </c>
      <c r="DX79" s="75" t="s">
        <v>362</v>
      </c>
      <c r="DY79" s="75" t="s">
        <v>362</v>
      </c>
      <c r="DZ79" s="74" t="s">
        <v>326</v>
      </c>
      <c r="EA79" s="74" t="s">
        <v>326</v>
      </c>
      <c r="EB79" s="75" t="s">
        <v>362</v>
      </c>
      <c r="EC79" s="74" t="s">
        <v>326</v>
      </c>
      <c r="ED79" s="74" t="s">
        <v>326</v>
      </c>
      <c r="EE79" s="74"/>
      <c r="EF79" s="75" t="s">
        <v>362</v>
      </c>
      <c r="EG79" s="74" t="s">
        <v>326</v>
      </c>
      <c r="EH79" s="75" t="s">
        <v>362</v>
      </c>
      <c r="EI79" s="74" t="s">
        <v>326</v>
      </c>
      <c r="EJ79" s="75" t="s">
        <v>362</v>
      </c>
      <c r="EK79" s="75"/>
      <c r="EL79" s="74" t="s">
        <v>326</v>
      </c>
      <c r="EM79" s="74" t="s">
        <v>326</v>
      </c>
      <c r="EN79" s="75" t="s">
        <v>362</v>
      </c>
      <c r="EO79" s="74" t="s">
        <v>326</v>
      </c>
      <c r="EP79" s="74" t="s">
        <v>326</v>
      </c>
      <c r="EQ79" s="75"/>
      <c r="ER79" s="75" t="s">
        <v>362</v>
      </c>
      <c r="ES79" s="74" t="s">
        <v>326</v>
      </c>
      <c r="ET79" s="74" t="s">
        <v>326</v>
      </c>
      <c r="EU79" s="74" t="s">
        <v>326</v>
      </c>
      <c r="EV79" s="75" t="s">
        <v>362</v>
      </c>
      <c r="EW79" s="75" t="s">
        <v>362</v>
      </c>
      <c r="EX79" s="75" t="s">
        <v>362</v>
      </c>
      <c r="EY79" s="75"/>
      <c r="EZ79" s="75" t="s">
        <v>362</v>
      </c>
      <c r="FA79" s="74" t="s">
        <v>326</v>
      </c>
      <c r="FB79" s="74" t="s">
        <v>326</v>
      </c>
      <c r="FC79" s="75" t="s">
        <v>362</v>
      </c>
      <c r="FD79" s="75" t="s">
        <v>362</v>
      </c>
      <c r="FE79" s="75" t="s">
        <v>362</v>
      </c>
      <c r="FF79" s="75"/>
      <c r="FG79" s="81" t="s">
        <v>338</v>
      </c>
      <c r="FH79" s="81" t="s">
        <v>314</v>
      </c>
      <c r="FI79" s="81" t="s">
        <v>338</v>
      </c>
      <c r="FJ79" s="81" t="s">
        <v>338</v>
      </c>
      <c r="FK79" s="81" t="s">
        <v>338</v>
      </c>
      <c r="FL79" s="75"/>
      <c r="FM79" s="74" t="s">
        <v>326</v>
      </c>
      <c r="FN79" s="74" t="s">
        <v>326</v>
      </c>
      <c r="FO79" s="75" t="s">
        <v>362</v>
      </c>
      <c r="FP79" s="75" t="s">
        <v>362</v>
      </c>
      <c r="FQ79" s="74" t="s">
        <v>326</v>
      </c>
      <c r="FR79" s="74"/>
      <c r="FS79" s="75" t="s">
        <v>362</v>
      </c>
      <c r="FT79" s="74" t="s">
        <v>326</v>
      </c>
      <c r="FU79" s="75" t="s">
        <v>362</v>
      </c>
      <c r="FV79" s="74" t="s">
        <v>326</v>
      </c>
      <c r="FW79" s="75" t="s">
        <v>362</v>
      </c>
      <c r="FX79" s="75" t="s">
        <v>362</v>
      </c>
      <c r="FY79" s="75"/>
      <c r="FZ79" s="74" t="s">
        <v>326</v>
      </c>
      <c r="GA79" s="74"/>
      <c r="GB79" s="74" t="s">
        <v>326</v>
      </c>
      <c r="GC79" s="74" t="s">
        <v>326</v>
      </c>
      <c r="GD79" s="75" t="s">
        <v>362</v>
      </c>
      <c r="GE79" s="75" t="s">
        <v>362</v>
      </c>
      <c r="GF79" s="74" t="s">
        <v>326</v>
      </c>
      <c r="GG79" s="75"/>
      <c r="GH79" s="81" t="s">
        <v>338</v>
      </c>
      <c r="GI79" s="81" t="s">
        <v>314</v>
      </c>
      <c r="GJ79" s="81" t="s">
        <v>338</v>
      </c>
      <c r="GK79" s="81" t="s">
        <v>338</v>
      </c>
      <c r="GL79" s="81" t="s">
        <v>338</v>
      </c>
      <c r="GM79" s="81"/>
      <c r="GO79" s="74" t="s">
        <v>326</v>
      </c>
      <c r="GP79" s="74" t="s">
        <v>326</v>
      </c>
      <c r="GS79" s="75" t="s">
        <v>362</v>
      </c>
      <c r="GT79" s="74" t="s">
        <v>326</v>
      </c>
      <c r="GU79" s="75" t="s">
        <v>362</v>
      </c>
      <c r="GV79" s="75" t="s">
        <v>362</v>
      </c>
      <c r="GW79" s="75" t="s">
        <v>362</v>
      </c>
      <c r="GX79" s="74" t="s">
        <v>326</v>
      </c>
      <c r="GY79" s="75" t="s">
        <v>362</v>
      </c>
      <c r="GZ79" s="75" t="s">
        <v>362</v>
      </c>
      <c r="HA79" s="75" t="s">
        <v>362</v>
      </c>
      <c r="HB79" s="75" t="s">
        <v>362</v>
      </c>
      <c r="HC79" s="74" t="s">
        <v>326</v>
      </c>
      <c r="HD79" s="75" t="s">
        <v>362</v>
      </c>
      <c r="HE79" s="75"/>
      <c r="HF79" s="75" t="s">
        <v>362</v>
      </c>
      <c r="HG79" s="74" t="s">
        <v>326</v>
      </c>
      <c r="HH79" s="74" t="s">
        <v>326</v>
      </c>
      <c r="HI79" s="75" t="s">
        <v>362</v>
      </c>
      <c r="HJ79" s="75" t="s">
        <v>362</v>
      </c>
      <c r="HK79" s="74" t="s">
        <v>326</v>
      </c>
      <c r="HL79" s="75" t="s">
        <v>362</v>
      </c>
      <c r="HM79" s="75"/>
      <c r="HN79" s="75" t="s">
        <v>362</v>
      </c>
      <c r="HO79" s="75" t="s">
        <v>362</v>
      </c>
      <c r="HP79" s="74" t="s">
        <v>326</v>
      </c>
      <c r="HQ79" s="74" t="s">
        <v>326</v>
      </c>
      <c r="HR79" s="75" t="s">
        <v>362</v>
      </c>
      <c r="HS79" s="75" t="s">
        <v>362</v>
      </c>
      <c r="HT79" s="75"/>
      <c r="HU79" s="75" t="s">
        <v>362</v>
      </c>
      <c r="HV79" s="74" t="s">
        <v>326</v>
      </c>
      <c r="HW79" s="75" t="s">
        <v>362</v>
      </c>
      <c r="HX79" s="75" t="s">
        <v>362</v>
      </c>
      <c r="HY79" s="75" t="s">
        <v>362</v>
      </c>
      <c r="HZ79" s="75" t="s">
        <v>362</v>
      </c>
      <c r="IA79" s="75"/>
      <c r="IB79" s="81" t="s">
        <v>338</v>
      </c>
      <c r="IC79" s="81" t="s">
        <v>314</v>
      </c>
      <c r="ID79" s="81" t="s">
        <v>314</v>
      </c>
      <c r="IE79" s="81" t="s">
        <v>314</v>
      </c>
      <c r="IF79" s="81" t="s">
        <v>338</v>
      </c>
      <c r="IG79" s="81" t="s">
        <v>338</v>
      </c>
      <c r="IH79" s="81"/>
      <c r="II79" s="74" t="s">
        <v>326</v>
      </c>
      <c r="IJ79" s="74" t="s">
        <v>326</v>
      </c>
      <c r="IK79" s="74" t="s">
        <v>326</v>
      </c>
      <c r="IL79" s="74" t="s">
        <v>326</v>
      </c>
      <c r="IM79" s="74" t="s">
        <v>326</v>
      </c>
      <c r="IN79" s="81"/>
      <c r="IP79" s="75" t="s">
        <v>362</v>
      </c>
      <c r="IS79" s="75" t="s">
        <v>362</v>
      </c>
      <c r="IT79" s="74" t="s">
        <v>326</v>
      </c>
      <c r="IW79" s="75" t="s">
        <v>362</v>
      </c>
      <c r="IX79" s="75" t="s">
        <v>362</v>
      </c>
      <c r="IY79" s="74" t="s">
        <v>326</v>
      </c>
      <c r="IZ79" s="75" t="s">
        <v>362</v>
      </c>
      <c r="JA79" s="75" t="s">
        <v>362</v>
      </c>
      <c r="JC79" s="81" t="s">
        <v>338</v>
      </c>
      <c r="JD79" s="81" t="s">
        <v>362</v>
      </c>
      <c r="JE79" s="81" t="s">
        <v>338</v>
      </c>
      <c r="JF79" s="81" t="s">
        <v>314</v>
      </c>
      <c r="JG79" s="81" t="s">
        <v>314</v>
      </c>
      <c r="JH79" s="81" t="s">
        <v>314</v>
      </c>
      <c r="JI79" s="81" t="s">
        <v>314</v>
      </c>
      <c r="JJ79" s="81" t="s">
        <v>338</v>
      </c>
      <c r="JK79" s="81" t="s">
        <v>338</v>
      </c>
      <c r="JL79" s="81"/>
      <c r="JM79" s="75" t="s">
        <v>362</v>
      </c>
      <c r="JN79" s="74" t="s">
        <v>326</v>
      </c>
      <c r="JO79" s="75" t="s">
        <v>362</v>
      </c>
      <c r="JP79" s="81"/>
      <c r="JQ79" s="75" t="s">
        <v>362</v>
      </c>
      <c r="JR79" s="74" t="s">
        <v>326</v>
      </c>
      <c r="JS79" s="74" t="s">
        <v>326</v>
      </c>
      <c r="JT79" s="74" t="s">
        <v>326</v>
      </c>
      <c r="JU79" s="75" t="s">
        <v>362</v>
      </c>
      <c r="JV79" s="75" t="s">
        <v>362</v>
      </c>
    </row>
    <row r="80" spans="1:282" x14ac:dyDescent="0.15">
      <c r="A80" s="214" t="s">
        <v>545</v>
      </c>
      <c r="B80" s="6" t="s">
        <v>21</v>
      </c>
      <c r="C80" s="6">
        <v>50000</v>
      </c>
      <c r="D80" s="6">
        <v>11</v>
      </c>
      <c r="E80" s="6">
        <v>6</v>
      </c>
      <c r="F80" s="6">
        <v>3</v>
      </c>
      <c r="G80" s="6" t="s">
        <v>36</v>
      </c>
      <c r="H80" s="6" t="s">
        <v>37</v>
      </c>
      <c r="I80" s="6" t="s">
        <v>46</v>
      </c>
      <c r="J80" s="21" t="s">
        <v>65</v>
      </c>
      <c r="K80" s="21">
        <v>1</v>
      </c>
      <c r="L80" s="21">
        <v>2</v>
      </c>
      <c r="M80" s="21">
        <v>2</v>
      </c>
      <c r="N80" s="21">
        <v>0</v>
      </c>
      <c r="O80" s="21">
        <v>0</v>
      </c>
      <c r="P80" s="21" t="str">
        <f>IF(TeamT[[#This Row],[General]]+TeamT[[#This Row],[Agility]]+TeamT[[#This Row],[Strength]]+TeamT[[#This Row],[Passing]]+TeamT[[#This Row],[Mutation]]&gt;0,IF(TeamT[[#This Row],[General]]=1,"G","")&amp;IF(TeamT[[#This Row],[Agility]]=1,"A","")&amp;IF(TeamT[[#This Row],[Strength]]=1,"S","")&amp;IF(TeamT[[#This Row],[Passing]]=1,"P","")&amp;IF(TeamT[[#This Row],[Mutation]]=1,"M",""),"Star")</f>
        <v>G</v>
      </c>
      <c r="Q80" s="21" t="str">
        <f>IF(TeamT[[#This Row],[General]]=2,"G","")&amp;IF(TeamT[[#This Row],[Agility]]=2,"A","")&amp;IF(TeamT[[#This Row],[Strength]]=2,"S","")&amp;IF(TeamT[[#This Row],[Passing]]=2,"P","")&amp;IF(TeamT[[#This Row],[Mutation]]=2,"M","")</f>
        <v>AS</v>
      </c>
      <c r="R80" s="212"/>
      <c r="S80" s="21">
        <v>3</v>
      </c>
      <c r="T80" s="21">
        <v>4</v>
      </c>
      <c r="U80" s="21">
        <v>9</v>
      </c>
      <c r="AA80" s="76" t="e">
        <f>HLOOKUP(Roster!$E$5,Team!$BL$2:$MK$128,79,FALSE)</f>
        <v>#N/A</v>
      </c>
      <c r="AB80" s="76" t="e">
        <f>HLOOKUP(Roster!$E$6,Team!$BL$2:$MK$128,79,FALSE)</f>
        <v>#N/A</v>
      </c>
      <c r="AC80" s="76" t="e">
        <f>HLOOKUP(Roster!$E$7,Team!$BL$2:$MK$128,79,FALSE)</f>
        <v>#N/A</v>
      </c>
      <c r="AD80" s="76" t="e">
        <f>HLOOKUP(Roster!$E$8,Team!$BL$2:$MK$128,79,FALSE)</f>
        <v>#N/A</v>
      </c>
      <c r="AE80" s="76" t="e">
        <f>HLOOKUP(Roster!$E$9,Team!$BL$2:$MK$128,79,FALSE)</f>
        <v>#N/A</v>
      </c>
      <c r="AF80" s="76" t="e">
        <f>HLOOKUP(Roster!$E$10,Team!$BL$2:$MK$128,79,FALSE)</f>
        <v>#N/A</v>
      </c>
      <c r="AG80" s="76" t="e">
        <f>HLOOKUP(Roster!$E$11,Team!$BL$2:$MK$128,79,FALSE)</f>
        <v>#N/A</v>
      </c>
      <c r="AH80" s="76" t="e">
        <f>HLOOKUP(Roster!$E$12,Team!$BL$2:$MK$128,79,FALSE)</f>
        <v>#N/A</v>
      </c>
      <c r="AI80" s="76" t="e">
        <f>HLOOKUP(Roster!$E$13,Team!$BL$2:$MK$128,79,FALSE)</f>
        <v>#N/A</v>
      </c>
      <c r="AJ80" s="76" t="e">
        <f>HLOOKUP(Roster!$E$14,Team!$BL$2:$MK$128,79,FALSE)</f>
        <v>#N/A</v>
      </c>
      <c r="AK80" s="76" t="e">
        <f>HLOOKUP(Roster!$E$15,Team!$BL$2:$MK$128,79,FALSE)</f>
        <v>#N/A</v>
      </c>
      <c r="AL80" s="76" t="e">
        <f>HLOOKUP(Roster!$E$16,Team!$BL$2:$MK$128,79,FALSE)</f>
        <v>#N/A</v>
      </c>
      <c r="AM80" s="76" t="e">
        <f>HLOOKUP(Roster!$E$17,Team!$BL$2:$MK$128,79,FALSE)</f>
        <v>#N/A</v>
      </c>
      <c r="AN80" s="76" t="e">
        <f>HLOOKUP(Roster!$E$18,Team!$BL$2:$MK$128,79,FALSE)</f>
        <v>#N/A</v>
      </c>
      <c r="AO80" s="76" t="e">
        <f>HLOOKUP(Roster!$E$19,Team!$BL$2:$MK$128,79,FALSE)</f>
        <v>#N/A</v>
      </c>
      <c r="AP80" s="76" t="e">
        <f>HLOOKUP(Roster!$E$20,Team!$BL$2:$MK$128,79,FALSE)</f>
        <v>#N/A</v>
      </c>
      <c r="AR80" s="108">
        <f t="shared" si="17"/>
        <v>0</v>
      </c>
      <c r="AS80" s="108">
        <f t="shared" si="18"/>
        <v>0</v>
      </c>
      <c r="AT80" s="108">
        <f t="shared" si="19"/>
        <v>0</v>
      </c>
      <c r="AU80" s="108">
        <f t="shared" si="20"/>
        <v>0</v>
      </c>
      <c r="AV80" s="108">
        <f t="shared" si="21"/>
        <v>0</v>
      </c>
      <c r="AW80" s="108">
        <f t="shared" si="22"/>
        <v>0</v>
      </c>
      <c r="AX80" s="108">
        <f t="shared" si="23"/>
        <v>0</v>
      </c>
      <c r="AY80" s="108">
        <f t="shared" si="24"/>
        <v>0</v>
      </c>
      <c r="AZ80" s="108">
        <f t="shared" si="25"/>
        <v>0</v>
      </c>
      <c r="BA80" s="108">
        <f t="shared" si="26"/>
        <v>0</v>
      </c>
      <c r="BB80" s="108">
        <f t="shared" si="27"/>
        <v>0</v>
      </c>
      <c r="BC80" s="108">
        <f t="shared" si="28"/>
        <v>0</v>
      </c>
      <c r="BD80" s="108">
        <f t="shared" si="29"/>
        <v>0</v>
      </c>
      <c r="BE80" s="108">
        <f t="shared" si="30"/>
        <v>0</v>
      </c>
      <c r="BF80" s="108">
        <f t="shared" si="31"/>
        <v>0</v>
      </c>
      <c r="BG80" s="108">
        <f t="shared" si="32"/>
        <v>0</v>
      </c>
      <c r="BL80" s="75" t="s">
        <v>363</v>
      </c>
      <c r="BM80" s="75" t="s">
        <v>327</v>
      </c>
      <c r="BN80" s="75" t="s">
        <v>363</v>
      </c>
      <c r="BO80" s="75" t="s">
        <v>363</v>
      </c>
      <c r="BP80" s="75" t="s">
        <v>363</v>
      </c>
      <c r="BQ80" s="75"/>
      <c r="BR80" s="75" t="s">
        <v>327</v>
      </c>
      <c r="BS80" s="75" t="s">
        <v>327</v>
      </c>
      <c r="BT80" s="75" t="s">
        <v>327</v>
      </c>
      <c r="BU80" s="75" t="s">
        <v>327</v>
      </c>
      <c r="BV80" s="75"/>
      <c r="BW80" s="81" t="s">
        <v>315</v>
      </c>
      <c r="BX80" s="81" t="s">
        <v>339</v>
      </c>
      <c r="BY80" s="81" t="s">
        <v>339</v>
      </c>
      <c r="BZ80" s="81" t="s">
        <v>339</v>
      </c>
      <c r="CA80" s="81" t="s">
        <v>339</v>
      </c>
      <c r="CB80" s="81" t="s">
        <v>315</v>
      </c>
      <c r="CC80" s="77"/>
      <c r="CD80" s="75" t="s">
        <v>363</v>
      </c>
      <c r="CE80" s="81" t="s">
        <v>339</v>
      </c>
      <c r="CF80" s="75" t="s">
        <v>363</v>
      </c>
      <c r="CG80" s="81" t="s">
        <v>339</v>
      </c>
      <c r="CH80" s="75" t="s">
        <v>363</v>
      </c>
      <c r="CI80" s="77"/>
      <c r="CJ80" s="81" t="s">
        <v>339</v>
      </c>
      <c r="CK80" s="81" t="s">
        <v>315</v>
      </c>
      <c r="CL80" s="81" t="s">
        <v>339</v>
      </c>
      <c r="CM80" s="81" t="s">
        <v>339</v>
      </c>
      <c r="CN80" s="81" t="s">
        <v>339</v>
      </c>
      <c r="CO80" s="81" t="s">
        <v>315</v>
      </c>
      <c r="CP80" s="81" t="s">
        <v>339</v>
      </c>
      <c r="CQ80" s="81" t="s">
        <v>339</v>
      </c>
      <c r="CR80" s="81" t="s">
        <v>339</v>
      </c>
      <c r="CS80" s="81" t="s">
        <v>339</v>
      </c>
      <c r="CT80" s="81" t="s">
        <v>339</v>
      </c>
      <c r="CU80" s="81"/>
      <c r="CV80" s="75" t="s">
        <v>327</v>
      </c>
      <c r="CW80" s="75" t="s">
        <v>327</v>
      </c>
      <c r="CX80" s="75" t="s">
        <v>327</v>
      </c>
      <c r="CY80" s="75" t="s">
        <v>327</v>
      </c>
      <c r="CZ80" s="75" t="s">
        <v>327</v>
      </c>
      <c r="DA80" s="81"/>
      <c r="DB80" s="75" t="s">
        <v>363</v>
      </c>
      <c r="DC80" s="75" t="s">
        <v>327</v>
      </c>
      <c r="DD80" s="75" t="s">
        <v>327</v>
      </c>
      <c r="DE80" s="75" t="s">
        <v>327</v>
      </c>
      <c r="DF80" s="75" t="s">
        <v>327</v>
      </c>
      <c r="DG80" s="75" t="s">
        <v>363</v>
      </c>
      <c r="DH80" s="75"/>
      <c r="DI80" s="75" t="s">
        <v>363</v>
      </c>
      <c r="DJ80" s="75" t="s">
        <v>327</v>
      </c>
      <c r="DK80" s="75" t="s">
        <v>327</v>
      </c>
      <c r="DL80" s="75" t="s">
        <v>363</v>
      </c>
      <c r="DM80" s="75" t="s">
        <v>363</v>
      </c>
      <c r="DN80" s="75" t="s">
        <v>363</v>
      </c>
      <c r="DO80" s="75"/>
      <c r="DP80" s="75" t="s">
        <v>363</v>
      </c>
      <c r="DQ80" s="75" t="s">
        <v>327</v>
      </c>
      <c r="DR80" s="75" t="s">
        <v>363</v>
      </c>
      <c r="DS80" s="75" t="s">
        <v>327</v>
      </c>
      <c r="DT80" s="75" t="s">
        <v>363</v>
      </c>
      <c r="DU80" s="75"/>
      <c r="DV80" s="75" t="s">
        <v>327</v>
      </c>
      <c r="DW80" s="75" t="s">
        <v>327</v>
      </c>
      <c r="DX80" s="75" t="s">
        <v>363</v>
      </c>
      <c r="DY80" s="75" t="s">
        <v>363</v>
      </c>
      <c r="DZ80" s="75" t="s">
        <v>327</v>
      </c>
      <c r="EA80" s="75" t="s">
        <v>327</v>
      </c>
      <c r="EB80" s="75" t="s">
        <v>363</v>
      </c>
      <c r="EC80" s="75" t="s">
        <v>327</v>
      </c>
      <c r="ED80" s="75" t="s">
        <v>327</v>
      </c>
      <c r="EE80" s="75"/>
      <c r="EF80" s="75" t="s">
        <v>363</v>
      </c>
      <c r="EG80" s="75" t="s">
        <v>327</v>
      </c>
      <c r="EH80" s="75" t="s">
        <v>363</v>
      </c>
      <c r="EI80" s="75" t="s">
        <v>327</v>
      </c>
      <c r="EJ80" s="75" t="s">
        <v>363</v>
      </c>
      <c r="EK80" s="75"/>
      <c r="EL80" s="75" t="s">
        <v>327</v>
      </c>
      <c r="EM80" s="75" t="s">
        <v>327</v>
      </c>
      <c r="EN80" s="75" t="s">
        <v>363</v>
      </c>
      <c r="EO80" s="75" t="s">
        <v>327</v>
      </c>
      <c r="EP80" s="75" t="s">
        <v>327</v>
      </c>
      <c r="EQ80" s="75"/>
      <c r="ER80" s="75" t="s">
        <v>363</v>
      </c>
      <c r="ES80" s="75" t="s">
        <v>327</v>
      </c>
      <c r="ET80" s="75" t="s">
        <v>327</v>
      </c>
      <c r="EU80" s="75" t="s">
        <v>327</v>
      </c>
      <c r="EV80" s="75" t="s">
        <v>363</v>
      </c>
      <c r="EW80" s="75" t="s">
        <v>363</v>
      </c>
      <c r="EX80" s="75" t="s">
        <v>363</v>
      </c>
      <c r="EY80" s="75"/>
      <c r="EZ80" s="75" t="s">
        <v>363</v>
      </c>
      <c r="FA80" s="75" t="s">
        <v>327</v>
      </c>
      <c r="FB80" s="75" t="s">
        <v>327</v>
      </c>
      <c r="FC80" s="75" t="s">
        <v>363</v>
      </c>
      <c r="FD80" s="75" t="s">
        <v>363</v>
      </c>
      <c r="FE80" s="75" t="s">
        <v>363</v>
      </c>
      <c r="FF80" s="75"/>
      <c r="FG80" s="81" t="s">
        <v>339</v>
      </c>
      <c r="FH80" s="81" t="s">
        <v>315</v>
      </c>
      <c r="FI80" s="81" t="s">
        <v>339</v>
      </c>
      <c r="FJ80" s="81" t="s">
        <v>339</v>
      </c>
      <c r="FK80" s="81" t="s">
        <v>339</v>
      </c>
      <c r="FL80" s="75"/>
      <c r="FM80" s="75" t="s">
        <v>327</v>
      </c>
      <c r="FN80" s="75" t="s">
        <v>327</v>
      </c>
      <c r="FO80" s="75" t="s">
        <v>363</v>
      </c>
      <c r="FP80" s="75" t="s">
        <v>363</v>
      </c>
      <c r="FQ80" s="75" t="s">
        <v>327</v>
      </c>
      <c r="FR80" s="75"/>
      <c r="FS80" s="75" t="s">
        <v>363</v>
      </c>
      <c r="FT80" s="75" t="s">
        <v>327</v>
      </c>
      <c r="FU80" s="75" t="s">
        <v>363</v>
      </c>
      <c r="FV80" s="75" t="s">
        <v>327</v>
      </c>
      <c r="FW80" s="75" t="s">
        <v>363</v>
      </c>
      <c r="FX80" s="75" t="s">
        <v>363</v>
      </c>
      <c r="FY80" s="75"/>
      <c r="FZ80" s="75" t="s">
        <v>327</v>
      </c>
      <c r="GA80" s="75"/>
      <c r="GB80" s="75" t="s">
        <v>327</v>
      </c>
      <c r="GC80" s="75" t="s">
        <v>327</v>
      </c>
      <c r="GD80" s="75" t="s">
        <v>363</v>
      </c>
      <c r="GE80" s="75" t="s">
        <v>363</v>
      </c>
      <c r="GF80" s="75" t="s">
        <v>327</v>
      </c>
      <c r="GG80" s="75"/>
      <c r="GH80" s="81" t="s">
        <v>339</v>
      </c>
      <c r="GI80" s="81" t="s">
        <v>315</v>
      </c>
      <c r="GJ80" s="81" t="s">
        <v>339</v>
      </c>
      <c r="GK80" s="81" t="s">
        <v>339</v>
      </c>
      <c r="GL80" s="81" t="s">
        <v>339</v>
      </c>
      <c r="GM80" s="81"/>
      <c r="GO80" s="75" t="s">
        <v>327</v>
      </c>
      <c r="GP80" s="75" t="s">
        <v>327</v>
      </c>
      <c r="GS80" s="75" t="s">
        <v>363</v>
      </c>
      <c r="GT80" s="75" t="s">
        <v>327</v>
      </c>
      <c r="GU80" s="75" t="s">
        <v>363</v>
      </c>
      <c r="GV80" s="75" t="s">
        <v>363</v>
      </c>
      <c r="GW80" s="75" t="s">
        <v>363</v>
      </c>
      <c r="GX80" s="75" t="s">
        <v>327</v>
      </c>
      <c r="GY80" s="75" t="s">
        <v>363</v>
      </c>
      <c r="GZ80" s="75" t="s">
        <v>363</v>
      </c>
      <c r="HA80" s="75" t="s">
        <v>363</v>
      </c>
      <c r="HB80" s="75" t="s">
        <v>363</v>
      </c>
      <c r="HC80" s="75" t="s">
        <v>327</v>
      </c>
      <c r="HD80" s="75" t="s">
        <v>363</v>
      </c>
      <c r="HE80" s="75"/>
      <c r="HF80" s="75" t="s">
        <v>363</v>
      </c>
      <c r="HG80" s="75" t="s">
        <v>327</v>
      </c>
      <c r="HH80" s="75" t="s">
        <v>327</v>
      </c>
      <c r="HI80" s="75" t="s">
        <v>363</v>
      </c>
      <c r="HJ80" s="75" t="s">
        <v>363</v>
      </c>
      <c r="HK80" s="75" t="s">
        <v>327</v>
      </c>
      <c r="HL80" s="75" t="s">
        <v>363</v>
      </c>
      <c r="HM80" s="75"/>
      <c r="HN80" s="75" t="s">
        <v>363</v>
      </c>
      <c r="HO80" s="75" t="s">
        <v>363</v>
      </c>
      <c r="HP80" s="75" t="s">
        <v>327</v>
      </c>
      <c r="HQ80" s="75" t="s">
        <v>327</v>
      </c>
      <c r="HR80" s="75" t="s">
        <v>363</v>
      </c>
      <c r="HS80" s="75" t="s">
        <v>363</v>
      </c>
      <c r="HT80" s="75"/>
      <c r="HU80" s="75" t="s">
        <v>363</v>
      </c>
      <c r="HV80" s="75" t="s">
        <v>327</v>
      </c>
      <c r="HW80" s="75" t="s">
        <v>363</v>
      </c>
      <c r="HX80" s="75" t="s">
        <v>363</v>
      </c>
      <c r="HY80" s="75" t="s">
        <v>363</v>
      </c>
      <c r="HZ80" s="75" t="s">
        <v>363</v>
      </c>
      <c r="IA80" s="75"/>
      <c r="IB80" s="81" t="s">
        <v>339</v>
      </c>
      <c r="IC80" s="81" t="s">
        <v>315</v>
      </c>
      <c r="ID80" s="81" t="s">
        <v>315</v>
      </c>
      <c r="IE80" s="81" t="s">
        <v>315</v>
      </c>
      <c r="IF80" s="81" t="s">
        <v>339</v>
      </c>
      <c r="IG80" s="81" t="s">
        <v>339</v>
      </c>
      <c r="IH80" s="81"/>
      <c r="II80" s="75" t="s">
        <v>327</v>
      </c>
      <c r="IJ80" s="75" t="s">
        <v>327</v>
      </c>
      <c r="IK80" s="75" t="s">
        <v>327</v>
      </c>
      <c r="IL80" s="75" t="s">
        <v>327</v>
      </c>
      <c r="IM80" s="75" t="s">
        <v>327</v>
      </c>
      <c r="IN80" s="81"/>
      <c r="IP80" s="75" t="s">
        <v>363</v>
      </c>
      <c r="IS80" s="75" t="s">
        <v>363</v>
      </c>
      <c r="IT80" s="75" t="s">
        <v>327</v>
      </c>
      <c r="IW80" s="75" t="s">
        <v>363</v>
      </c>
      <c r="IX80" s="75" t="s">
        <v>363</v>
      </c>
      <c r="IY80" s="75" t="s">
        <v>327</v>
      </c>
      <c r="IZ80" s="75" t="s">
        <v>363</v>
      </c>
      <c r="JA80" s="75" t="s">
        <v>363</v>
      </c>
      <c r="JC80" s="81" t="s">
        <v>339</v>
      </c>
      <c r="JD80" s="81" t="s">
        <v>363</v>
      </c>
      <c r="JE80" s="81" t="s">
        <v>339</v>
      </c>
      <c r="JF80" s="81" t="s">
        <v>315</v>
      </c>
      <c r="JG80" s="81" t="s">
        <v>315</v>
      </c>
      <c r="JH80" s="81" t="s">
        <v>315</v>
      </c>
      <c r="JI80" s="81" t="s">
        <v>315</v>
      </c>
      <c r="JJ80" s="81" t="s">
        <v>339</v>
      </c>
      <c r="JK80" s="81" t="s">
        <v>339</v>
      </c>
      <c r="JL80" s="81"/>
      <c r="JM80" s="75" t="s">
        <v>363</v>
      </c>
      <c r="JN80" s="75" t="s">
        <v>327</v>
      </c>
      <c r="JO80" s="75" t="s">
        <v>363</v>
      </c>
      <c r="JP80" s="81"/>
      <c r="JQ80" s="75" t="s">
        <v>363</v>
      </c>
      <c r="JR80" s="75" t="s">
        <v>327</v>
      </c>
      <c r="JS80" s="75" t="s">
        <v>327</v>
      </c>
      <c r="JT80" s="75" t="s">
        <v>327</v>
      </c>
      <c r="JU80" s="75" t="s">
        <v>363</v>
      </c>
      <c r="JV80" s="75" t="s">
        <v>363</v>
      </c>
    </row>
    <row r="81" spans="1:280" x14ac:dyDescent="0.15">
      <c r="A81" s="214" t="s">
        <v>499</v>
      </c>
      <c r="B81" s="6" t="s">
        <v>487</v>
      </c>
      <c r="C81" s="6">
        <v>45000</v>
      </c>
      <c r="D81" s="6">
        <v>12</v>
      </c>
      <c r="E81" s="6">
        <v>6</v>
      </c>
      <c r="F81" s="6">
        <v>3</v>
      </c>
      <c r="G81" s="6" t="s">
        <v>37</v>
      </c>
      <c r="H81" s="6" t="s">
        <v>37</v>
      </c>
      <c r="I81" s="6" t="s">
        <v>38</v>
      </c>
      <c r="J81" s="21" t="s">
        <v>117</v>
      </c>
      <c r="K81" s="21">
        <v>1</v>
      </c>
      <c r="L81" s="21">
        <v>2</v>
      </c>
      <c r="M81" s="21">
        <v>2</v>
      </c>
      <c r="N81" s="21">
        <v>0</v>
      </c>
      <c r="O81" s="21">
        <v>0</v>
      </c>
      <c r="P81" s="21" t="str">
        <f>IF(TeamT[[#This Row],[General]]+TeamT[[#This Row],[Agility]]+TeamT[[#This Row],[Strength]]+TeamT[[#This Row],[Passing]]+TeamT[[#This Row],[Mutation]]&gt;0,IF(TeamT[[#This Row],[General]]=1,"G","")&amp;IF(TeamT[[#This Row],[Agility]]=1,"A","")&amp;IF(TeamT[[#This Row],[Strength]]=1,"S","")&amp;IF(TeamT[[#This Row],[Passing]]=1,"P","")&amp;IF(TeamT[[#This Row],[Mutation]]=1,"M",""),"Star")</f>
        <v>G</v>
      </c>
      <c r="Q81" s="21" t="str">
        <f>IF(TeamT[[#This Row],[General]]=2,"G","")&amp;IF(TeamT[[#This Row],[Agility]]=2,"A","")&amp;IF(TeamT[[#This Row],[Strength]]=2,"S","")&amp;IF(TeamT[[#This Row],[Passing]]=2,"P","")&amp;IF(TeamT[[#This Row],[Mutation]]=2,"M","")</f>
        <v>AS</v>
      </c>
      <c r="R81" s="212"/>
      <c r="S81" s="21">
        <v>4</v>
      </c>
      <c r="T81" s="21">
        <v>4</v>
      </c>
      <c r="U81" s="21">
        <v>8</v>
      </c>
      <c r="AA81" s="76" t="e">
        <f>HLOOKUP(Roster!$E$5,Team!$BL$2:$MK$128,80,FALSE)</f>
        <v>#N/A</v>
      </c>
      <c r="AB81" s="76" t="e">
        <f>HLOOKUP(Roster!$E$6,Team!$BL$2:$MK$128,80,FALSE)</f>
        <v>#N/A</v>
      </c>
      <c r="AC81" s="76" t="e">
        <f>HLOOKUP(Roster!$E$7,Team!$BL$2:$MK$128,80,FALSE)</f>
        <v>#N/A</v>
      </c>
      <c r="AD81" s="76" t="e">
        <f>HLOOKUP(Roster!$E$8,Team!$BL$2:$MK$128,80,FALSE)</f>
        <v>#N/A</v>
      </c>
      <c r="AE81" s="76" t="e">
        <f>HLOOKUP(Roster!$E$9,Team!$BL$2:$MK$128,80,FALSE)</f>
        <v>#N/A</v>
      </c>
      <c r="AF81" s="76" t="e">
        <f>HLOOKUP(Roster!$E$10,Team!$BL$2:$MK$128,80,FALSE)</f>
        <v>#N/A</v>
      </c>
      <c r="AG81" s="76" t="e">
        <f>HLOOKUP(Roster!$E$11,Team!$BL$2:$MK$128,80,FALSE)</f>
        <v>#N/A</v>
      </c>
      <c r="AH81" s="76" t="e">
        <f>HLOOKUP(Roster!$E$12,Team!$BL$2:$MK$128,80,FALSE)</f>
        <v>#N/A</v>
      </c>
      <c r="AI81" s="76" t="e">
        <f>HLOOKUP(Roster!$E$13,Team!$BL$2:$MK$128,80,FALSE)</f>
        <v>#N/A</v>
      </c>
      <c r="AJ81" s="76" t="e">
        <f>HLOOKUP(Roster!$E$14,Team!$BL$2:$MK$128,80,FALSE)</f>
        <v>#N/A</v>
      </c>
      <c r="AK81" s="76" t="e">
        <f>HLOOKUP(Roster!$E$15,Team!$BL$2:$MK$128,80,FALSE)</f>
        <v>#N/A</v>
      </c>
      <c r="AL81" s="76" t="e">
        <f>HLOOKUP(Roster!$E$16,Team!$BL$2:$MK$128,80,FALSE)</f>
        <v>#N/A</v>
      </c>
      <c r="AM81" s="76" t="e">
        <f>HLOOKUP(Roster!$E$17,Team!$BL$2:$MK$128,80,FALSE)</f>
        <v>#N/A</v>
      </c>
      <c r="AN81" s="76" t="e">
        <f>HLOOKUP(Roster!$E$18,Team!$BL$2:$MK$128,80,FALSE)</f>
        <v>#N/A</v>
      </c>
      <c r="AO81" s="76" t="e">
        <f>HLOOKUP(Roster!$E$19,Team!$BL$2:$MK$128,80,FALSE)</f>
        <v>#N/A</v>
      </c>
      <c r="AP81" s="76" t="e">
        <f>HLOOKUP(Roster!$E$20,Team!$BL$2:$MK$128,80,FALSE)</f>
        <v>#N/A</v>
      </c>
      <c r="AR81" s="108">
        <f t="shared" si="17"/>
        <v>0</v>
      </c>
      <c r="AS81" s="108">
        <f t="shared" si="18"/>
        <v>0</v>
      </c>
      <c r="AT81" s="108">
        <f t="shared" si="19"/>
        <v>0</v>
      </c>
      <c r="AU81" s="108">
        <f t="shared" si="20"/>
        <v>0</v>
      </c>
      <c r="AV81" s="108">
        <f t="shared" si="21"/>
        <v>0</v>
      </c>
      <c r="AW81" s="108">
        <f t="shared" si="22"/>
        <v>0</v>
      </c>
      <c r="AX81" s="108">
        <f t="shared" si="23"/>
        <v>0</v>
      </c>
      <c r="AY81" s="108">
        <f t="shared" si="24"/>
        <v>0</v>
      </c>
      <c r="AZ81" s="108">
        <f t="shared" si="25"/>
        <v>0</v>
      </c>
      <c r="BA81" s="108">
        <f t="shared" si="26"/>
        <v>0</v>
      </c>
      <c r="BB81" s="108">
        <f t="shared" si="27"/>
        <v>0</v>
      </c>
      <c r="BC81" s="108">
        <f t="shared" si="28"/>
        <v>0</v>
      </c>
      <c r="BD81" s="108">
        <f t="shared" si="29"/>
        <v>0</v>
      </c>
      <c r="BE81" s="108">
        <f t="shared" si="30"/>
        <v>0</v>
      </c>
      <c r="BF81" s="108">
        <f t="shared" si="31"/>
        <v>0</v>
      </c>
      <c r="BG81" s="108">
        <f t="shared" si="32"/>
        <v>0</v>
      </c>
      <c r="BM81" s="75" t="s">
        <v>340</v>
      </c>
      <c r="BQ81" s="75"/>
      <c r="BR81" s="75" t="s">
        <v>340</v>
      </c>
      <c r="BS81" s="75" t="s">
        <v>340</v>
      </c>
      <c r="BT81" s="75" t="s">
        <v>340</v>
      </c>
      <c r="BU81" s="75" t="s">
        <v>340</v>
      </c>
      <c r="BV81" s="75"/>
      <c r="BW81" s="81" t="s">
        <v>316</v>
      </c>
      <c r="BX81" s="81" t="s">
        <v>340</v>
      </c>
      <c r="BY81" s="81" t="s">
        <v>340</v>
      </c>
      <c r="BZ81" s="81" t="s">
        <v>340</v>
      </c>
      <c r="CA81" s="81" t="s">
        <v>340</v>
      </c>
      <c r="CB81" s="81" t="s">
        <v>316</v>
      </c>
      <c r="CC81" s="77"/>
      <c r="CE81" s="81" t="s">
        <v>340</v>
      </c>
      <c r="CG81" s="81" t="s">
        <v>340</v>
      </c>
      <c r="CI81" s="77"/>
      <c r="CJ81" s="81" t="s">
        <v>340</v>
      </c>
      <c r="CK81" s="81" t="s">
        <v>316</v>
      </c>
      <c r="CL81" s="81" t="s">
        <v>340</v>
      </c>
      <c r="CM81" s="81" t="s">
        <v>340</v>
      </c>
      <c r="CN81" s="81" t="s">
        <v>340</v>
      </c>
      <c r="CO81" s="81" t="s">
        <v>316</v>
      </c>
      <c r="CP81" s="81" t="s">
        <v>340</v>
      </c>
      <c r="CQ81" s="81" t="s">
        <v>340</v>
      </c>
      <c r="CR81" s="81" t="s">
        <v>340</v>
      </c>
      <c r="CS81" s="81" t="s">
        <v>340</v>
      </c>
      <c r="CT81" s="81" t="s">
        <v>340</v>
      </c>
      <c r="CU81" s="81"/>
      <c r="CV81" s="75" t="s">
        <v>340</v>
      </c>
      <c r="CW81" s="75" t="s">
        <v>340</v>
      </c>
      <c r="CX81" s="75" t="s">
        <v>340</v>
      </c>
      <c r="CY81" s="75" t="s">
        <v>340</v>
      </c>
      <c r="CZ81" s="75" t="s">
        <v>340</v>
      </c>
      <c r="DA81" s="81"/>
      <c r="DC81" s="75" t="s">
        <v>340</v>
      </c>
      <c r="DD81" s="75" t="s">
        <v>340</v>
      </c>
      <c r="DE81" s="75" t="s">
        <v>340</v>
      </c>
      <c r="DF81" s="75" t="s">
        <v>340</v>
      </c>
      <c r="DJ81" s="75" t="s">
        <v>340</v>
      </c>
      <c r="DK81" s="75" t="s">
        <v>340</v>
      </c>
      <c r="DQ81" s="75" t="s">
        <v>340</v>
      </c>
      <c r="DS81" s="75" t="s">
        <v>340</v>
      </c>
      <c r="DV81" s="75" t="s">
        <v>340</v>
      </c>
      <c r="DW81" s="75" t="s">
        <v>340</v>
      </c>
      <c r="DZ81" s="75" t="s">
        <v>340</v>
      </c>
      <c r="EA81" s="75" t="s">
        <v>340</v>
      </c>
      <c r="EC81" s="75" t="s">
        <v>340</v>
      </c>
      <c r="ED81" s="75" t="s">
        <v>340</v>
      </c>
      <c r="EE81" s="75"/>
      <c r="EG81" s="75" t="s">
        <v>340</v>
      </c>
      <c r="EI81" s="75" t="s">
        <v>340</v>
      </c>
      <c r="EL81" s="75" t="s">
        <v>340</v>
      </c>
      <c r="EM81" s="75" t="s">
        <v>340</v>
      </c>
      <c r="EO81" s="75" t="s">
        <v>340</v>
      </c>
      <c r="EP81" s="75" t="s">
        <v>340</v>
      </c>
      <c r="ES81" s="75" t="s">
        <v>340</v>
      </c>
      <c r="ET81" s="75" t="s">
        <v>340</v>
      </c>
      <c r="EU81" s="75" t="s">
        <v>340</v>
      </c>
      <c r="FA81" s="75" t="s">
        <v>340</v>
      </c>
      <c r="FB81" s="75" t="s">
        <v>340</v>
      </c>
      <c r="FG81" s="81" t="s">
        <v>340</v>
      </c>
      <c r="FH81" s="81" t="s">
        <v>316</v>
      </c>
      <c r="FI81" s="81" t="s">
        <v>340</v>
      </c>
      <c r="FJ81" s="81" t="s">
        <v>340</v>
      </c>
      <c r="FK81" s="81" t="s">
        <v>340</v>
      </c>
      <c r="FM81" s="75" t="s">
        <v>340</v>
      </c>
      <c r="FN81" s="75" t="s">
        <v>340</v>
      </c>
      <c r="FQ81" s="75" t="s">
        <v>340</v>
      </c>
      <c r="FR81" s="75"/>
      <c r="FT81" s="75" t="s">
        <v>340</v>
      </c>
      <c r="FV81" s="75" t="s">
        <v>340</v>
      </c>
      <c r="FZ81" s="75" t="s">
        <v>340</v>
      </c>
      <c r="GA81" s="75"/>
      <c r="GB81" s="75" t="s">
        <v>340</v>
      </c>
      <c r="GC81" s="75" t="s">
        <v>340</v>
      </c>
      <c r="GF81" s="75" t="s">
        <v>340</v>
      </c>
      <c r="GH81" s="81" t="s">
        <v>340</v>
      </c>
      <c r="GI81" s="81" t="s">
        <v>316</v>
      </c>
      <c r="GJ81" s="81" t="s">
        <v>340</v>
      </c>
      <c r="GK81" s="81" t="s">
        <v>340</v>
      </c>
      <c r="GL81" s="81" t="s">
        <v>340</v>
      </c>
      <c r="GM81" s="81"/>
      <c r="GO81" s="75" t="s">
        <v>340</v>
      </c>
      <c r="GP81" s="75" t="s">
        <v>340</v>
      </c>
      <c r="GT81" s="75" t="s">
        <v>340</v>
      </c>
      <c r="GX81" s="75" t="s">
        <v>340</v>
      </c>
      <c r="HC81" s="75" t="s">
        <v>340</v>
      </c>
      <c r="HG81" s="75" t="s">
        <v>340</v>
      </c>
      <c r="HH81" s="75" t="s">
        <v>340</v>
      </c>
      <c r="HK81" s="75" t="s">
        <v>340</v>
      </c>
      <c r="HP81" s="75" t="s">
        <v>340</v>
      </c>
      <c r="HQ81" s="75" t="s">
        <v>340</v>
      </c>
      <c r="HV81" s="75" t="s">
        <v>340</v>
      </c>
      <c r="IB81" s="81" t="s">
        <v>340</v>
      </c>
      <c r="IC81" s="81" t="s">
        <v>316</v>
      </c>
      <c r="ID81" s="81" t="s">
        <v>316</v>
      </c>
      <c r="IE81" s="81" t="s">
        <v>316</v>
      </c>
      <c r="IF81" s="81" t="s">
        <v>340</v>
      </c>
      <c r="IG81" s="81" t="s">
        <v>340</v>
      </c>
      <c r="IH81" s="81"/>
      <c r="II81" s="75" t="s">
        <v>340</v>
      </c>
      <c r="IJ81" s="75" t="s">
        <v>340</v>
      </c>
      <c r="IK81" s="75" t="s">
        <v>340</v>
      </c>
      <c r="IL81" s="75" t="s">
        <v>340</v>
      </c>
      <c r="IM81" s="75" t="s">
        <v>340</v>
      </c>
      <c r="IN81" s="81"/>
      <c r="IT81" s="75" t="s">
        <v>340</v>
      </c>
      <c r="IY81" s="75" t="s">
        <v>340</v>
      </c>
      <c r="JC81" s="81" t="s">
        <v>340</v>
      </c>
      <c r="JE81" s="81" t="s">
        <v>340</v>
      </c>
      <c r="JF81" s="81" t="s">
        <v>316</v>
      </c>
      <c r="JG81" s="81" t="s">
        <v>316</v>
      </c>
      <c r="JH81" s="81" t="s">
        <v>316</v>
      </c>
      <c r="JI81" s="81" t="s">
        <v>316</v>
      </c>
      <c r="JJ81" s="81" t="s">
        <v>340</v>
      </c>
      <c r="JK81" s="81" t="s">
        <v>340</v>
      </c>
      <c r="JL81" s="81"/>
      <c r="JN81" s="75" t="s">
        <v>340</v>
      </c>
      <c r="JP81" s="81"/>
      <c r="JR81" s="75" t="s">
        <v>340</v>
      </c>
      <c r="JS81" s="75" t="s">
        <v>340</v>
      </c>
      <c r="JT81" s="75" t="s">
        <v>340</v>
      </c>
    </row>
    <row r="82" spans="1:280" x14ac:dyDescent="0.15">
      <c r="A82" s="214" t="s">
        <v>115</v>
      </c>
      <c r="B82" s="6" t="s">
        <v>487</v>
      </c>
      <c r="C82" s="6">
        <v>75000</v>
      </c>
      <c r="D82" s="6">
        <v>2</v>
      </c>
      <c r="E82" s="6">
        <v>6</v>
      </c>
      <c r="F82" s="6">
        <v>3</v>
      </c>
      <c r="G82" s="6" t="s">
        <v>36</v>
      </c>
      <c r="H82" s="6" t="s">
        <v>36</v>
      </c>
      <c r="I82" s="6" t="s">
        <v>46</v>
      </c>
      <c r="J82" s="21" t="s">
        <v>118</v>
      </c>
      <c r="K82" s="21">
        <v>1</v>
      </c>
      <c r="L82" s="21">
        <v>2</v>
      </c>
      <c r="M82" s="21">
        <v>2</v>
      </c>
      <c r="N82" s="21">
        <v>1</v>
      </c>
      <c r="O82" s="21">
        <v>0</v>
      </c>
      <c r="P82" s="21" t="str">
        <f>IF(TeamT[[#This Row],[General]]+TeamT[[#This Row],[Agility]]+TeamT[[#This Row],[Strength]]+TeamT[[#This Row],[Passing]]+TeamT[[#This Row],[Mutation]]&gt;0,IF(TeamT[[#This Row],[General]]=1,"G","")&amp;IF(TeamT[[#This Row],[Agility]]=1,"A","")&amp;IF(TeamT[[#This Row],[Strength]]=1,"S","")&amp;IF(TeamT[[#This Row],[Passing]]=1,"P","")&amp;IF(TeamT[[#This Row],[Mutation]]=1,"M",""),"Star")</f>
        <v>GP</v>
      </c>
      <c r="Q82" s="21" t="str">
        <f>IF(TeamT[[#This Row],[General]]=2,"G","")&amp;IF(TeamT[[#This Row],[Agility]]=2,"A","")&amp;IF(TeamT[[#This Row],[Strength]]=2,"S","")&amp;IF(TeamT[[#This Row],[Passing]]=2,"P","")&amp;IF(TeamT[[#This Row],[Mutation]]=2,"M","")</f>
        <v>AS</v>
      </c>
      <c r="R82" s="212"/>
      <c r="S82" s="21">
        <v>3</v>
      </c>
      <c r="T82" s="21">
        <v>3</v>
      </c>
      <c r="U82" s="21">
        <v>9</v>
      </c>
      <c r="AA82" s="76" t="e">
        <f>HLOOKUP(Roster!$E$5,Team!$BL$2:$MK$128,81,FALSE)</f>
        <v>#N/A</v>
      </c>
      <c r="AB82" s="76" t="e">
        <f>HLOOKUP(Roster!$E$6,Team!$BL$2:$MK$128,81,FALSE)</f>
        <v>#N/A</v>
      </c>
      <c r="AC82" s="76" t="e">
        <f>HLOOKUP(Roster!$E$7,Team!$BL$2:$MK$128,81,FALSE)</f>
        <v>#N/A</v>
      </c>
      <c r="AD82" s="76" t="e">
        <f>HLOOKUP(Roster!$E$8,Team!$BL$2:$MK$128,81,FALSE)</f>
        <v>#N/A</v>
      </c>
      <c r="AE82" s="76" t="e">
        <f>HLOOKUP(Roster!$E$9,Team!$BL$2:$MK$128,81,FALSE)</f>
        <v>#N/A</v>
      </c>
      <c r="AF82" s="76" t="e">
        <f>HLOOKUP(Roster!$E$10,Team!$BL$2:$MK$128,81,FALSE)</f>
        <v>#N/A</v>
      </c>
      <c r="AG82" s="76" t="e">
        <f>HLOOKUP(Roster!$E$11,Team!$BL$2:$MK$128,81,FALSE)</f>
        <v>#N/A</v>
      </c>
      <c r="AH82" s="76" t="e">
        <f>HLOOKUP(Roster!$E$12,Team!$BL$2:$MK$128,81,FALSE)</f>
        <v>#N/A</v>
      </c>
      <c r="AI82" s="76" t="e">
        <f>HLOOKUP(Roster!$E$13,Team!$BL$2:$MK$128,81,FALSE)</f>
        <v>#N/A</v>
      </c>
      <c r="AJ82" s="76" t="e">
        <f>HLOOKUP(Roster!$E$14,Team!$BL$2:$MK$128,81,FALSE)</f>
        <v>#N/A</v>
      </c>
      <c r="AK82" s="76" t="e">
        <f>HLOOKUP(Roster!$E$15,Team!$BL$2:$MK$128,81,FALSE)</f>
        <v>#N/A</v>
      </c>
      <c r="AL82" s="76" t="e">
        <f>HLOOKUP(Roster!$E$16,Team!$BL$2:$MK$128,81,FALSE)</f>
        <v>#N/A</v>
      </c>
      <c r="AM82" s="76" t="e">
        <f>HLOOKUP(Roster!$E$17,Team!$BL$2:$MK$128,81,FALSE)</f>
        <v>#N/A</v>
      </c>
      <c r="AN82" s="76" t="e">
        <f>HLOOKUP(Roster!$E$18,Team!$BL$2:$MK$128,81,FALSE)</f>
        <v>#N/A</v>
      </c>
      <c r="AO82" s="76" t="e">
        <f>HLOOKUP(Roster!$E$19,Team!$BL$2:$MK$128,81,FALSE)</f>
        <v>#N/A</v>
      </c>
      <c r="AP82" s="76" t="e">
        <f>HLOOKUP(Roster!$E$20,Team!$BL$2:$MK$128,81,FALSE)</f>
        <v>#N/A</v>
      </c>
      <c r="AR82" s="108">
        <f t="shared" si="17"/>
        <v>0</v>
      </c>
      <c r="AS82" s="108">
        <f t="shared" si="18"/>
        <v>0</v>
      </c>
      <c r="AT82" s="108">
        <f t="shared" si="19"/>
        <v>0</v>
      </c>
      <c r="AU82" s="108">
        <f t="shared" si="20"/>
        <v>0</v>
      </c>
      <c r="AV82" s="108">
        <f t="shared" si="21"/>
        <v>0</v>
      </c>
      <c r="AW82" s="108">
        <f t="shared" si="22"/>
        <v>0</v>
      </c>
      <c r="AX82" s="108">
        <f t="shared" si="23"/>
        <v>0</v>
      </c>
      <c r="AY82" s="108">
        <f t="shared" si="24"/>
        <v>0</v>
      </c>
      <c r="AZ82" s="108">
        <f t="shared" si="25"/>
        <v>0</v>
      </c>
      <c r="BA82" s="108">
        <f t="shared" si="26"/>
        <v>0</v>
      </c>
      <c r="BB82" s="108">
        <f t="shared" si="27"/>
        <v>0</v>
      </c>
      <c r="BC82" s="108">
        <f t="shared" si="28"/>
        <v>0</v>
      </c>
      <c r="BD82" s="108">
        <f t="shared" si="29"/>
        <v>0</v>
      </c>
      <c r="BE82" s="108">
        <f t="shared" si="30"/>
        <v>0</v>
      </c>
      <c r="BF82" s="108">
        <f t="shared" si="31"/>
        <v>0</v>
      </c>
      <c r="BG82" s="108">
        <f t="shared" si="32"/>
        <v>0</v>
      </c>
      <c r="BM82" s="75" t="s">
        <v>341</v>
      </c>
      <c r="BQ82" s="75"/>
      <c r="BR82" s="75" t="s">
        <v>341</v>
      </c>
      <c r="BS82" s="75" t="s">
        <v>341</v>
      </c>
      <c r="BT82" s="75" t="s">
        <v>341</v>
      </c>
      <c r="BU82" s="75" t="s">
        <v>341</v>
      </c>
      <c r="BV82" s="75"/>
      <c r="BW82" s="81" t="s">
        <v>317</v>
      </c>
      <c r="BX82" s="81" t="s">
        <v>341</v>
      </c>
      <c r="BY82" s="81" t="s">
        <v>341</v>
      </c>
      <c r="BZ82" s="81" t="s">
        <v>341</v>
      </c>
      <c r="CA82" s="81" t="s">
        <v>341</v>
      </c>
      <c r="CB82" s="81" t="s">
        <v>317</v>
      </c>
      <c r="CC82" s="77"/>
      <c r="CE82" s="81" t="s">
        <v>341</v>
      </c>
      <c r="CG82" s="81" t="s">
        <v>341</v>
      </c>
      <c r="CI82" s="77"/>
      <c r="CJ82" s="81" t="s">
        <v>341</v>
      </c>
      <c r="CK82" s="81" t="s">
        <v>317</v>
      </c>
      <c r="CL82" s="81" t="s">
        <v>341</v>
      </c>
      <c r="CM82" s="81" t="s">
        <v>341</v>
      </c>
      <c r="CN82" s="81" t="s">
        <v>341</v>
      </c>
      <c r="CO82" s="81" t="s">
        <v>317</v>
      </c>
      <c r="CP82" s="81" t="s">
        <v>341</v>
      </c>
      <c r="CQ82" s="81" t="s">
        <v>341</v>
      </c>
      <c r="CR82" s="81" t="s">
        <v>341</v>
      </c>
      <c r="CS82" s="81" t="s">
        <v>341</v>
      </c>
      <c r="CT82" s="81" t="s">
        <v>341</v>
      </c>
      <c r="CU82" s="81"/>
      <c r="CV82" s="75" t="s">
        <v>341</v>
      </c>
      <c r="CW82" s="75" t="s">
        <v>341</v>
      </c>
      <c r="CX82" s="75" t="s">
        <v>341</v>
      </c>
      <c r="CY82" s="75" t="s">
        <v>341</v>
      </c>
      <c r="CZ82" s="75" t="s">
        <v>341</v>
      </c>
      <c r="DA82" s="81"/>
      <c r="DC82" s="75" t="s">
        <v>341</v>
      </c>
      <c r="DD82" s="75" t="s">
        <v>341</v>
      </c>
      <c r="DE82" s="75" t="s">
        <v>341</v>
      </c>
      <c r="DF82" s="75" t="s">
        <v>341</v>
      </c>
      <c r="DJ82" s="75" t="s">
        <v>341</v>
      </c>
      <c r="DK82" s="75" t="s">
        <v>341</v>
      </c>
      <c r="DQ82" s="75" t="s">
        <v>341</v>
      </c>
      <c r="DS82" s="75" t="s">
        <v>341</v>
      </c>
      <c r="DV82" s="75" t="s">
        <v>341</v>
      </c>
      <c r="DW82" s="75" t="s">
        <v>341</v>
      </c>
      <c r="DZ82" s="75" t="s">
        <v>341</v>
      </c>
      <c r="EA82" s="75" t="s">
        <v>341</v>
      </c>
      <c r="EC82" s="75" t="s">
        <v>341</v>
      </c>
      <c r="ED82" s="75" t="s">
        <v>341</v>
      </c>
      <c r="EE82" s="75"/>
      <c r="EG82" s="75" t="s">
        <v>341</v>
      </c>
      <c r="EI82" s="75" t="s">
        <v>341</v>
      </c>
      <c r="EL82" s="75" t="s">
        <v>341</v>
      </c>
      <c r="EM82" s="75" t="s">
        <v>341</v>
      </c>
      <c r="EO82" s="75" t="s">
        <v>341</v>
      </c>
      <c r="EP82" s="75" t="s">
        <v>341</v>
      </c>
      <c r="ES82" s="75" t="s">
        <v>341</v>
      </c>
      <c r="ET82" s="75" t="s">
        <v>341</v>
      </c>
      <c r="EU82" s="75" t="s">
        <v>341</v>
      </c>
      <c r="FA82" s="75" t="s">
        <v>341</v>
      </c>
      <c r="FB82" s="75" t="s">
        <v>341</v>
      </c>
      <c r="FG82" s="81" t="s">
        <v>341</v>
      </c>
      <c r="FH82" s="81" t="s">
        <v>317</v>
      </c>
      <c r="FI82" s="81" t="s">
        <v>341</v>
      </c>
      <c r="FJ82" s="81" t="s">
        <v>341</v>
      </c>
      <c r="FK82" s="81" t="s">
        <v>341</v>
      </c>
      <c r="FM82" s="75" t="s">
        <v>341</v>
      </c>
      <c r="FN82" s="75" t="s">
        <v>341</v>
      </c>
      <c r="FQ82" s="75" t="s">
        <v>341</v>
      </c>
      <c r="FR82" s="75"/>
      <c r="FT82" s="75" t="s">
        <v>341</v>
      </c>
      <c r="FV82" s="75" t="s">
        <v>341</v>
      </c>
      <c r="FZ82" s="75" t="s">
        <v>341</v>
      </c>
      <c r="GA82" s="75"/>
      <c r="GB82" s="75" t="s">
        <v>341</v>
      </c>
      <c r="GC82" s="75" t="s">
        <v>341</v>
      </c>
      <c r="GF82" s="75" t="s">
        <v>341</v>
      </c>
      <c r="GH82" s="81" t="s">
        <v>341</v>
      </c>
      <c r="GI82" s="81" t="s">
        <v>317</v>
      </c>
      <c r="GJ82" s="81" t="s">
        <v>341</v>
      </c>
      <c r="GK82" s="81" t="s">
        <v>341</v>
      </c>
      <c r="GL82" s="81" t="s">
        <v>341</v>
      </c>
      <c r="GM82" s="81"/>
      <c r="GO82" s="75" t="s">
        <v>341</v>
      </c>
      <c r="GP82" s="75" t="s">
        <v>341</v>
      </c>
      <c r="GT82" s="75" t="s">
        <v>341</v>
      </c>
      <c r="GX82" s="75" t="s">
        <v>341</v>
      </c>
      <c r="HC82" s="75" t="s">
        <v>341</v>
      </c>
      <c r="HG82" s="75" t="s">
        <v>341</v>
      </c>
      <c r="HH82" s="75" t="s">
        <v>341</v>
      </c>
      <c r="HK82" s="75" t="s">
        <v>341</v>
      </c>
      <c r="HP82" s="75" t="s">
        <v>341</v>
      </c>
      <c r="HQ82" s="75" t="s">
        <v>341</v>
      </c>
      <c r="HV82" s="75" t="s">
        <v>341</v>
      </c>
      <c r="IB82" s="81" t="s">
        <v>341</v>
      </c>
      <c r="IC82" s="81" t="s">
        <v>317</v>
      </c>
      <c r="ID82" s="81" t="s">
        <v>317</v>
      </c>
      <c r="IE82" s="81" t="s">
        <v>317</v>
      </c>
      <c r="IF82" s="81" t="s">
        <v>341</v>
      </c>
      <c r="IG82" s="81" t="s">
        <v>341</v>
      </c>
      <c r="IH82" s="81"/>
      <c r="II82" s="75" t="s">
        <v>341</v>
      </c>
      <c r="IJ82" s="75" t="s">
        <v>341</v>
      </c>
      <c r="IK82" s="75" t="s">
        <v>341</v>
      </c>
      <c r="IL82" s="75" t="s">
        <v>341</v>
      </c>
      <c r="IM82" s="75" t="s">
        <v>341</v>
      </c>
      <c r="IN82" s="81"/>
      <c r="IT82" s="75" t="s">
        <v>341</v>
      </c>
      <c r="IY82" s="75" t="s">
        <v>341</v>
      </c>
      <c r="JC82" s="81" t="s">
        <v>341</v>
      </c>
      <c r="JE82" s="81" t="s">
        <v>341</v>
      </c>
      <c r="JF82" s="81" t="s">
        <v>317</v>
      </c>
      <c r="JG82" s="81" t="s">
        <v>317</v>
      </c>
      <c r="JH82" s="81" t="s">
        <v>317</v>
      </c>
      <c r="JI82" s="81" t="s">
        <v>317</v>
      </c>
      <c r="JJ82" s="81" t="s">
        <v>341</v>
      </c>
      <c r="JK82" s="81" t="s">
        <v>341</v>
      </c>
      <c r="JL82" s="81"/>
      <c r="JN82" s="75" t="s">
        <v>341</v>
      </c>
      <c r="JP82" s="81"/>
      <c r="JR82" s="75" t="s">
        <v>341</v>
      </c>
      <c r="JS82" s="75" t="s">
        <v>341</v>
      </c>
      <c r="JT82" s="75" t="s">
        <v>341</v>
      </c>
    </row>
    <row r="83" spans="1:280" x14ac:dyDescent="0.15">
      <c r="A83" s="214" t="s">
        <v>116</v>
      </c>
      <c r="B83" s="6" t="s">
        <v>487</v>
      </c>
      <c r="C83" s="6">
        <v>105000</v>
      </c>
      <c r="D83" s="6">
        <v>2</v>
      </c>
      <c r="E83" s="6">
        <v>7</v>
      </c>
      <c r="F83" s="6">
        <v>3</v>
      </c>
      <c r="G83" s="6" t="s">
        <v>36</v>
      </c>
      <c r="H83" s="6" t="s">
        <v>37</v>
      </c>
      <c r="I83" s="6" t="s">
        <v>46</v>
      </c>
      <c r="J83" s="21" t="s">
        <v>119</v>
      </c>
      <c r="K83" s="21">
        <v>1</v>
      </c>
      <c r="L83" s="21">
        <v>1</v>
      </c>
      <c r="M83" s="21">
        <v>2</v>
      </c>
      <c r="N83" s="21">
        <v>2</v>
      </c>
      <c r="O83" s="21">
        <v>0</v>
      </c>
      <c r="P83" s="21" t="str">
        <f>IF(TeamT[[#This Row],[General]]+TeamT[[#This Row],[Agility]]+TeamT[[#This Row],[Strength]]+TeamT[[#This Row],[Passing]]+TeamT[[#This Row],[Mutation]]&gt;0,IF(TeamT[[#This Row],[General]]=1,"G","")&amp;IF(TeamT[[#This Row],[Agility]]=1,"A","")&amp;IF(TeamT[[#This Row],[Strength]]=1,"S","")&amp;IF(TeamT[[#This Row],[Passing]]=1,"P","")&amp;IF(TeamT[[#This Row],[Mutation]]=1,"M",""),"Star")</f>
        <v>GA</v>
      </c>
      <c r="Q83" s="21" t="str">
        <f>IF(TeamT[[#This Row],[General]]=2,"G","")&amp;IF(TeamT[[#This Row],[Agility]]=2,"A","")&amp;IF(TeamT[[#This Row],[Strength]]=2,"S","")&amp;IF(TeamT[[#This Row],[Passing]]=2,"P","")&amp;IF(TeamT[[#This Row],[Mutation]]=2,"M","")</f>
        <v>SP</v>
      </c>
      <c r="R83" s="212"/>
      <c r="S83" s="21">
        <v>3</v>
      </c>
      <c r="T83" s="21">
        <v>4</v>
      </c>
      <c r="U83" s="21">
        <v>9</v>
      </c>
      <c r="AA83" s="76" t="e">
        <f>HLOOKUP(Roster!$E$5,Team!$BL$2:$MK$128,82,FALSE)</f>
        <v>#N/A</v>
      </c>
      <c r="AB83" s="76" t="e">
        <f>HLOOKUP(Roster!$E$6,Team!$BL$2:$MK$128,82,FALSE)</f>
        <v>#N/A</v>
      </c>
      <c r="AC83" s="76" t="e">
        <f>HLOOKUP(Roster!$E$7,Team!$BL$2:$MK$128,82,FALSE)</f>
        <v>#N/A</v>
      </c>
      <c r="AD83" s="76" t="e">
        <f>HLOOKUP(Roster!$E$8,Team!$BL$2:$MK$128,82,FALSE)</f>
        <v>#N/A</v>
      </c>
      <c r="AE83" s="76" t="e">
        <f>HLOOKUP(Roster!$E$9,Team!$BL$2:$MK$128,82,FALSE)</f>
        <v>#N/A</v>
      </c>
      <c r="AF83" s="76" t="e">
        <f>HLOOKUP(Roster!$E$10,Team!$BL$2:$MK$128,82,FALSE)</f>
        <v>#N/A</v>
      </c>
      <c r="AG83" s="76" t="e">
        <f>HLOOKUP(Roster!$E$11,Team!$BL$2:$MK$128,82,FALSE)</f>
        <v>#N/A</v>
      </c>
      <c r="AH83" s="76" t="e">
        <f>HLOOKUP(Roster!$E$12,Team!$BL$2:$MK$128,82,FALSE)</f>
        <v>#N/A</v>
      </c>
      <c r="AI83" s="76" t="e">
        <f>HLOOKUP(Roster!$E$13,Team!$BL$2:$MK$128,82,FALSE)</f>
        <v>#N/A</v>
      </c>
      <c r="AJ83" s="76" t="e">
        <f>HLOOKUP(Roster!$E$14,Team!$BL$2:$MK$128,82,FALSE)</f>
        <v>#N/A</v>
      </c>
      <c r="AK83" s="76" t="e">
        <f>HLOOKUP(Roster!$E$15,Team!$BL$2:$MK$128,82,FALSE)</f>
        <v>#N/A</v>
      </c>
      <c r="AL83" s="76" t="e">
        <f>HLOOKUP(Roster!$E$16,Team!$BL$2:$MK$128,82,FALSE)</f>
        <v>#N/A</v>
      </c>
      <c r="AM83" s="76" t="e">
        <f>HLOOKUP(Roster!$E$17,Team!$BL$2:$MK$128,82,FALSE)</f>
        <v>#N/A</v>
      </c>
      <c r="AN83" s="76" t="e">
        <f>HLOOKUP(Roster!$E$18,Team!$BL$2:$MK$128,82,FALSE)</f>
        <v>#N/A</v>
      </c>
      <c r="AO83" s="76" t="e">
        <f>HLOOKUP(Roster!$E$19,Team!$BL$2:$MK$128,82,FALSE)</f>
        <v>#N/A</v>
      </c>
      <c r="AP83" s="76" t="e">
        <f>HLOOKUP(Roster!$E$20,Team!$BL$2:$MK$128,82,FALSE)</f>
        <v>#N/A</v>
      </c>
      <c r="AR83" s="108">
        <f t="shared" si="17"/>
        <v>0</v>
      </c>
      <c r="AS83" s="108">
        <f t="shared" si="18"/>
        <v>0</v>
      </c>
      <c r="AT83" s="108">
        <f t="shared" si="19"/>
        <v>0</v>
      </c>
      <c r="AU83" s="108">
        <f t="shared" si="20"/>
        <v>0</v>
      </c>
      <c r="AV83" s="108">
        <f t="shared" si="21"/>
        <v>0</v>
      </c>
      <c r="AW83" s="108">
        <f t="shared" si="22"/>
        <v>0</v>
      </c>
      <c r="AX83" s="108">
        <f t="shared" si="23"/>
        <v>0</v>
      </c>
      <c r="AY83" s="108">
        <f t="shared" si="24"/>
        <v>0</v>
      </c>
      <c r="AZ83" s="108">
        <f t="shared" si="25"/>
        <v>0</v>
      </c>
      <c r="BA83" s="108">
        <f t="shared" si="26"/>
        <v>0</v>
      </c>
      <c r="BB83" s="108">
        <f t="shared" si="27"/>
        <v>0</v>
      </c>
      <c r="BC83" s="108">
        <f t="shared" si="28"/>
        <v>0</v>
      </c>
      <c r="BD83" s="108">
        <f t="shared" si="29"/>
        <v>0</v>
      </c>
      <c r="BE83" s="108">
        <f t="shared" si="30"/>
        <v>0</v>
      </c>
      <c r="BF83" s="108">
        <f t="shared" si="31"/>
        <v>0</v>
      </c>
      <c r="BG83" s="108">
        <f t="shared" si="32"/>
        <v>0</v>
      </c>
      <c r="BM83" s="75" t="s">
        <v>342</v>
      </c>
      <c r="BQ83" s="75"/>
      <c r="BR83" s="75" t="s">
        <v>342</v>
      </c>
      <c r="BS83" s="75" t="s">
        <v>342</v>
      </c>
      <c r="BT83" s="75" t="s">
        <v>342</v>
      </c>
      <c r="BU83" s="75" t="s">
        <v>342</v>
      </c>
      <c r="BV83" s="75"/>
      <c r="BW83" s="81" t="s">
        <v>318</v>
      </c>
      <c r="BX83" s="81" t="s">
        <v>342</v>
      </c>
      <c r="BY83" s="81" t="s">
        <v>342</v>
      </c>
      <c r="BZ83" s="81" t="s">
        <v>342</v>
      </c>
      <c r="CA83" s="81" t="s">
        <v>342</v>
      </c>
      <c r="CB83" s="81" t="s">
        <v>318</v>
      </c>
      <c r="CC83" s="77"/>
      <c r="CE83" s="81" t="s">
        <v>342</v>
      </c>
      <c r="CG83" s="81" t="s">
        <v>342</v>
      </c>
      <c r="CI83" s="77"/>
      <c r="CJ83" s="81" t="s">
        <v>342</v>
      </c>
      <c r="CK83" s="81" t="s">
        <v>318</v>
      </c>
      <c r="CL83" s="81" t="s">
        <v>342</v>
      </c>
      <c r="CM83" s="81" t="s">
        <v>342</v>
      </c>
      <c r="CN83" s="81" t="s">
        <v>342</v>
      </c>
      <c r="CO83" s="81" t="s">
        <v>318</v>
      </c>
      <c r="CP83" s="81" t="s">
        <v>342</v>
      </c>
      <c r="CQ83" s="81" t="s">
        <v>342</v>
      </c>
      <c r="CR83" s="81" t="s">
        <v>342</v>
      </c>
      <c r="CS83" s="81" t="s">
        <v>342</v>
      </c>
      <c r="CT83" s="81" t="s">
        <v>342</v>
      </c>
      <c r="CU83" s="81"/>
      <c r="CV83" s="75" t="s">
        <v>342</v>
      </c>
      <c r="CW83" s="75" t="s">
        <v>342</v>
      </c>
      <c r="CX83" s="75" t="s">
        <v>342</v>
      </c>
      <c r="CY83" s="75" t="s">
        <v>342</v>
      </c>
      <c r="CZ83" s="75" t="s">
        <v>342</v>
      </c>
      <c r="DA83" s="81"/>
      <c r="DC83" s="75" t="s">
        <v>342</v>
      </c>
      <c r="DD83" s="75" t="s">
        <v>342</v>
      </c>
      <c r="DE83" s="75" t="s">
        <v>342</v>
      </c>
      <c r="DF83" s="75" t="s">
        <v>342</v>
      </c>
      <c r="DJ83" s="75" t="s">
        <v>342</v>
      </c>
      <c r="DK83" s="75" t="s">
        <v>342</v>
      </c>
      <c r="DQ83" s="75" t="s">
        <v>342</v>
      </c>
      <c r="DS83" s="75" t="s">
        <v>342</v>
      </c>
      <c r="DV83" s="75" t="s">
        <v>342</v>
      </c>
      <c r="DW83" s="75" t="s">
        <v>342</v>
      </c>
      <c r="DZ83" s="75" t="s">
        <v>342</v>
      </c>
      <c r="EA83" s="75" t="s">
        <v>342</v>
      </c>
      <c r="EC83" s="75" t="s">
        <v>342</v>
      </c>
      <c r="ED83" s="75" t="s">
        <v>342</v>
      </c>
      <c r="EE83" s="75"/>
      <c r="EG83" s="75" t="s">
        <v>342</v>
      </c>
      <c r="EI83" s="75" t="s">
        <v>342</v>
      </c>
      <c r="EL83" s="75" t="s">
        <v>342</v>
      </c>
      <c r="EM83" s="75" t="s">
        <v>342</v>
      </c>
      <c r="EO83" s="75" t="s">
        <v>342</v>
      </c>
      <c r="EP83" s="75" t="s">
        <v>342</v>
      </c>
      <c r="ES83" s="75" t="s">
        <v>342</v>
      </c>
      <c r="ET83" s="75" t="s">
        <v>342</v>
      </c>
      <c r="EU83" s="75" t="s">
        <v>342</v>
      </c>
      <c r="FA83" s="75" t="s">
        <v>342</v>
      </c>
      <c r="FB83" s="75" t="s">
        <v>342</v>
      </c>
      <c r="FG83" s="81" t="s">
        <v>342</v>
      </c>
      <c r="FH83" s="81" t="s">
        <v>318</v>
      </c>
      <c r="FI83" s="81" t="s">
        <v>342</v>
      </c>
      <c r="FJ83" s="81" t="s">
        <v>342</v>
      </c>
      <c r="FK83" s="81" t="s">
        <v>342</v>
      </c>
      <c r="FM83" s="75" t="s">
        <v>342</v>
      </c>
      <c r="FN83" s="75" t="s">
        <v>342</v>
      </c>
      <c r="FQ83" s="75" t="s">
        <v>342</v>
      </c>
      <c r="FR83" s="75"/>
      <c r="FT83" s="75" t="s">
        <v>342</v>
      </c>
      <c r="FV83" s="75" t="s">
        <v>342</v>
      </c>
      <c r="FZ83" s="75" t="s">
        <v>342</v>
      </c>
      <c r="GA83" s="75"/>
      <c r="GB83" s="75" t="s">
        <v>342</v>
      </c>
      <c r="GC83" s="75" t="s">
        <v>342</v>
      </c>
      <c r="GF83" s="75" t="s">
        <v>342</v>
      </c>
      <c r="GH83" s="81" t="s">
        <v>342</v>
      </c>
      <c r="GI83" s="81" t="s">
        <v>318</v>
      </c>
      <c r="GJ83" s="81" t="s">
        <v>342</v>
      </c>
      <c r="GK83" s="81" t="s">
        <v>342</v>
      </c>
      <c r="GL83" s="81" t="s">
        <v>342</v>
      </c>
      <c r="GM83" s="81"/>
      <c r="GO83" s="75" t="s">
        <v>342</v>
      </c>
      <c r="GP83" s="75" t="s">
        <v>342</v>
      </c>
      <c r="GT83" s="75" t="s">
        <v>342</v>
      </c>
      <c r="GX83" s="75" t="s">
        <v>342</v>
      </c>
      <c r="HC83" s="75" t="s">
        <v>342</v>
      </c>
      <c r="HG83" s="75" t="s">
        <v>342</v>
      </c>
      <c r="HH83" s="75" t="s">
        <v>342</v>
      </c>
      <c r="HK83" s="75" t="s">
        <v>342</v>
      </c>
      <c r="HP83" s="75" t="s">
        <v>342</v>
      </c>
      <c r="HQ83" s="75" t="s">
        <v>342</v>
      </c>
      <c r="HV83" s="75" t="s">
        <v>342</v>
      </c>
      <c r="IB83" s="81" t="s">
        <v>342</v>
      </c>
      <c r="IC83" s="81" t="s">
        <v>318</v>
      </c>
      <c r="ID83" s="81" t="s">
        <v>318</v>
      </c>
      <c r="IE83" s="81" t="s">
        <v>318</v>
      </c>
      <c r="IF83" s="81" t="s">
        <v>342</v>
      </c>
      <c r="IG83" s="81" t="s">
        <v>342</v>
      </c>
      <c r="IH83" s="81"/>
      <c r="II83" s="75" t="s">
        <v>342</v>
      </c>
      <c r="IJ83" s="75" t="s">
        <v>342</v>
      </c>
      <c r="IK83" s="75" t="s">
        <v>342</v>
      </c>
      <c r="IL83" s="75" t="s">
        <v>342</v>
      </c>
      <c r="IM83" s="75" t="s">
        <v>342</v>
      </c>
      <c r="IN83" s="81"/>
      <c r="IT83" s="75" t="s">
        <v>342</v>
      </c>
      <c r="IY83" s="75" t="s">
        <v>342</v>
      </c>
      <c r="JC83" s="81" t="s">
        <v>342</v>
      </c>
      <c r="JE83" s="81" t="s">
        <v>342</v>
      </c>
      <c r="JF83" s="81" t="s">
        <v>318</v>
      </c>
      <c r="JG83" s="81" t="s">
        <v>318</v>
      </c>
      <c r="JH83" s="81" t="s">
        <v>318</v>
      </c>
      <c r="JI83" s="81" t="s">
        <v>318</v>
      </c>
      <c r="JJ83" s="81" t="s">
        <v>342</v>
      </c>
      <c r="JK83" s="81" t="s">
        <v>342</v>
      </c>
      <c r="JL83" s="81"/>
      <c r="JN83" s="75" t="s">
        <v>342</v>
      </c>
      <c r="JP83" s="81"/>
      <c r="JR83" s="75" t="s">
        <v>342</v>
      </c>
      <c r="JS83" s="75" t="s">
        <v>342</v>
      </c>
      <c r="JT83" s="75" t="s">
        <v>342</v>
      </c>
    </row>
    <row r="84" spans="1:280" x14ac:dyDescent="0.15">
      <c r="A84" s="214" t="s">
        <v>515</v>
      </c>
      <c r="B84" s="6" t="s">
        <v>487</v>
      </c>
      <c r="C84" s="6">
        <v>90000</v>
      </c>
      <c r="D84" s="6">
        <v>4</v>
      </c>
      <c r="E84" s="6">
        <v>6</v>
      </c>
      <c r="F84" s="6">
        <v>3</v>
      </c>
      <c r="G84" s="6" t="s">
        <v>36</v>
      </c>
      <c r="H84" s="6" t="s">
        <v>40</v>
      </c>
      <c r="I84" s="6" t="s">
        <v>46</v>
      </c>
      <c r="J84" s="21" t="s">
        <v>757</v>
      </c>
      <c r="K84" s="21">
        <v>1</v>
      </c>
      <c r="L84" s="21">
        <v>2</v>
      </c>
      <c r="M84" s="21">
        <v>1</v>
      </c>
      <c r="N84" s="21">
        <v>0</v>
      </c>
      <c r="O84" s="21">
        <v>0</v>
      </c>
      <c r="P84" s="21" t="str">
        <f>IF(TeamT[[#This Row],[General]]+TeamT[[#This Row],[Agility]]+TeamT[[#This Row],[Strength]]+TeamT[[#This Row],[Passing]]+TeamT[[#This Row],[Mutation]]&gt;0,IF(TeamT[[#This Row],[General]]=1,"G","")&amp;IF(TeamT[[#This Row],[Agility]]=1,"A","")&amp;IF(TeamT[[#This Row],[Strength]]=1,"S","")&amp;IF(TeamT[[#This Row],[Passing]]=1,"P","")&amp;IF(TeamT[[#This Row],[Mutation]]=1,"M",""),"Star")</f>
        <v>GS</v>
      </c>
      <c r="Q84" s="21" t="str">
        <f>IF(TeamT[[#This Row],[General]]=2,"G","")&amp;IF(TeamT[[#This Row],[Agility]]=2,"A","")&amp;IF(TeamT[[#This Row],[Strength]]=2,"S","")&amp;IF(TeamT[[#This Row],[Passing]]=2,"P","")&amp;IF(TeamT[[#This Row],[Mutation]]=2,"M","")</f>
        <v>A</v>
      </c>
      <c r="R84" s="212"/>
      <c r="S84" s="21">
        <v>3</v>
      </c>
      <c r="T84" s="21">
        <v>5</v>
      </c>
      <c r="U84" s="21">
        <v>9</v>
      </c>
      <c r="AA84" s="76" t="e">
        <f>HLOOKUP(Roster!$E$5,Team!$BL$2:$MK$128,83,FALSE)</f>
        <v>#N/A</v>
      </c>
      <c r="AB84" s="76" t="e">
        <f>HLOOKUP(Roster!$E$6,Team!$BL$2:$MK$128,83,FALSE)</f>
        <v>#N/A</v>
      </c>
      <c r="AC84" s="76" t="e">
        <f>HLOOKUP(Roster!$E$7,Team!$BL$2:$MK$128,83,FALSE)</f>
        <v>#N/A</v>
      </c>
      <c r="AD84" s="76" t="e">
        <f>HLOOKUP(Roster!$E$8,Team!$BL$2:$MK$128,83,FALSE)</f>
        <v>#N/A</v>
      </c>
      <c r="AE84" s="76" t="e">
        <f>HLOOKUP(Roster!$E$9,Team!$BL$2:$MK$128,83,FALSE)</f>
        <v>#N/A</v>
      </c>
      <c r="AF84" s="76" t="e">
        <f>HLOOKUP(Roster!$E$10,Team!$BL$2:$MK$128,83,FALSE)</f>
        <v>#N/A</v>
      </c>
      <c r="AG84" s="76" t="e">
        <f>HLOOKUP(Roster!$E$11,Team!$BL$2:$MK$128,83,FALSE)</f>
        <v>#N/A</v>
      </c>
      <c r="AH84" s="76" t="e">
        <f>HLOOKUP(Roster!$E$12,Team!$BL$2:$MK$128,83,FALSE)</f>
        <v>#N/A</v>
      </c>
      <c r="AI84" s="76" t="e">
        <f>HLOOKUP(Roster!$E$13,Team!$BL$2:$MK$128,83,FALSE)</f>
        <v>#N/A</v>
      </c>
      <c r="AJ84" s="76" t="e">
        <f>HLOOKUP(Roster!$E$14,Team!$BL$2:$MK$128,83,FALSE)</f>
        <v>#N/A</v>
      </c>
      <c r="AK84" s="76" t="e">
        <f>HLOOKUP(Roster!$E$15,Team!$BL$2:$MK$128,83,FALSE)</f>
        <v>#N/A</v>
      </c>
      <c r="AL84" s="76" t="e">
        <f>HLOOKUP(Roster!$E$16,Team!$BL$2:$MK$128,83,FALSE)</f>
        <v>#N/A</v>
      </c>
      <c r="AM84" s="76" t="e">
        <f>HLOOKUP(Roster!$E$17,Team!$BL$2:$MK$128,83,FALSE)</f>
        <v>#N/A</v>
      </c>
      <c r="AN84" s="76" t="e">
        <f>HLOOKUP(Roster!$E$18,Team!$BL$2:$MK$128,83,FALSE)</f>
        <v>#N/A</v>
      </c>
      <c r="AO84" s="76" t="e">
        <f>HLOOKUP(Roster!$E$19,Team!$BL$2:$MK$128,83,FALSE)</f>
        <v>#N/A</v>
      </c>
      <c r="AP84" s="76" t="e">
        <f>HLOOKUP(Roster!$E$20,Team!$BL$2:$MK$128,83,FALSE)</f>
        <v>#N/A</v>
      </c>
      <c r="AR84" s="108">
        <f t="shared" si="17"/>
        <v>0</v>
      </c>
      <c r="AS84" s="108">
        <f t="shared" si="18"/>
        <v>0</v>
      </c>
      <c r="AT84" s="108">
        <f t="shared" si="19"/>
        <v>0</v>
      </c>
      <c r="AU84" s="108">
        <f t="shared" si="20"/>
        <v>0</v>
      </c>
      <c r="AV84" s="108">
        <f t="shared" si="21"/>
        <v>0</v>
      </c>
      <c r="AW84" s="108">
        <f t="shared" si="22"/>
        <v>0</v>
      </c>
      <c r="AX84" s="108">
        <f t="shared" si="23"/>
        <v>0</v>
      </c>
      <c r="AY84" s="108">
        <f t="shared" si="24"/>
        <v>0</v>
      </c>
      <c r="AZ84" s="108">
        <f t="shared" si="25"/>
        <v>0</v>
      </c>
      <c r="BA84" s="108">
        <f t="shared" si="26"/>
        <v>0</v>
      </c>
      <c r="BB84" s="108">
        <f t="shared" si="27"/>
        <v>0</v>
      </c>
      <c r="BC84" s="108">
        <f t="shared" si="28"/>
        <v>0</v>
      </c>
      <c r="BD84" s="108">
        <f t="shared" si="29"/>
        <v>0</v>
      </c>
      <c r="BE84" s="108">
        <f t="shared" si="30"/>
        <v>0</v>
      </c>
      <c r="BF84" s="108">
        <f t="shared" si="31"/>
        <v>0</v>
      </c>
      <c r="BG84" s="108">
        <f t="shared" si="32"/>
        <v>0</v>
      </c>
      <c r="BM84" s="75" t="s">
        <v>343</v>
      </c>
      <c r="BQ84" s="75"/>
      <c r="BR84" s="75" t="s">
        <v>343</v>
      </c>
      <c r="BS84" s="75" t="s">
        <v>343</v>
      </c>
      <c r="BT84" s="75" t="s">
        <v>343</v>
      </c>
      <c r="BU84" s="75" t="s">
        <v>343</v>
      </c>
      <c r="BV84" s="75"/>
      <c r="BW84" s="81" t="s">
        <v>319</v>
      </c>
      <c r="BX84" s="81" t="s">
        <v>343</v>
      </c>
      <c r="BY84" s="81" t="s">
        <v>343</v>
      </c>
      <c r="BZ84" s="81" t="s">
        <v>343</v>
      </c>
      <c r="CA84" s="81" t="s">
        <v>343</v>
      </c>
      <c r="CB84" s="81" t="s">
        <v>319</v>
      </c>
      <c r="CC84" s="77"/>
      <c r="CD84" s="77"/>
      <c r="CE84" s="81" t="s">
        <v>343</v>
      </c>
      <c r="CF84" s="77"/>
      <c r="CG84" s="81" t="s">
        <v>343</v>
      </c>
      <c r="CH84" s="77"/>
      <c r="CI84" s="77"/>
      <c r="CJ84" s="81" t="s">
        <v>343</v>
      </c>
      <c r="CK84" s="81" t="s">
        <v>319</v>
      </c>
      <c r="CL84" s="81" t="s">
        <v>343</v>
      </c>
      <c r="CM84" s="81" t="s">
        <v>343</v>
      </c>
      <c r="CN84" s="81" t="s">
        <v>343</v>
      </c>
      <c r="CO84" s="81" t="s">
        <v>319</v>
      </c>
      <c r="CP84" s="81" t="s">
        <v>343</v>
      </c>
      <c r="CQ84" s="81" t="s">
        <v>343</v>
      </c>
      <c r="CR84" s="81" t="s">
        <v>343</v>
      </c>
      <c r="CS84" s="81" t="s">
        <v>343</v>
      </c>
      <c r="CT84" s="81" t="s">
        <v>343</v>
      </c>
      <c r="CU84" s="81"/>
      <c r="CV84" s="75" t="s">
        <v>343</v>
      </c>
      <c r="CW84" s="75" t="s">
        <v>343</v>
      </c>
      <c r="CX84" s="75" t="s">
        <v>343</v>
      </c>
      <c r="CY84" s="75" t="s">
        <v>343</v>
      </c>
      <c r="CZ84" s="75" t="s">
        <v>343</v>
      </c>
      <c r="DA84" s="81"/>
      <c r="DC84" s="75" t="s">
        <v>343</v>
      </c>
      <c r="DD84" s="75" t="s">
        <v>343</v>
      </c>
      <c r="DE84" s="75" t="s">
        <v>343</v>
      </c>
      <c r="DF84" s="75" t="s">
        <v>343</v>
      </c>
      <c r="DJ84" s="75" t="s">
        <v>343</v>
      </c>
      <c r="DK84" s="75" t="s">
        <v>343</v>
      </c>
      <c r="DQ84" s="75" t="s">
        <v>343</v>
      </c>
      <c r="DS84" s="75" t="s">
        <v>343</v>
      </c>
      <c r="DV84" s="75" t="s">
        <v>343</v>
      </c>
      <c r="DW84" s="75" t="s">
        <v>343</v>
      </c>
      <c r="DZ84" s="75" t="s">
        <v>343</v>
      </c>
      <c r="EA84" s="75" t="s">
        <v>343</v>
      </c>
      <c r="EC84" s="75" t="s">
        <v>343</v>
      </c>
      <c r="ED84" s="75" t="s">
        <v>343</v>
      </c>
      <c r="EE84" s="75"/>
      <c r="EG84" s="75" t="s">
        <v>343</v>
      </c>
      <c r="EI84" s="75" t="s">
        <v>343</v>
      </c>
      <c r="EL84" s="75" t="s">
        <v>343</v>
      </c>
      <c r="EM84" s="75" t="s">
        <v>343</v>
      </c>
      <c r="EO84" s="75" t="s">
        <v>343</v>
      </c>
      <c r="EP84" s="75" t="s">
        <v>343</v>
      </c>
      <c r="ES84" s="75" t="s">
        <v>343</v>
      </c>
      <c r="ET84" s="75" t="s">
        <v>343</v>
      </c>
      <c r="EU84" s="75" t="s">
        <v>343</v>
      </c>
      <c r="FA84" s="75" t="s">
        <v>343</v>
      </c>
      <c r="FB84" s="75" t="s">
        <v>343</v>
      </c>
      <c r="FG84" s="81" t="s">
        <v>343</v>
      </c>
      <c r="FH84" s="81" t="s">
        <v>319</v>
      </c>
      <c r="FI84" s="81" t="s">
        <v>343</v>
      </c>
      <c r="FJ84" s="81" t="s">
        <v>343</v>
      </c>
      <c r="FK84" s="81" t="s">
        <v>343</v>
      </c>
      <c r="FM84" s="75" t="s">
        <v>343</v>
      </c>
      <c r="FN84" s="75" t="s">
        <v>343</v>
      </c>
      <c r="FQ84" s="75" t="s">
        <v>343</v>
      </c>
      <c r="FR84" s="75"/>
      <c r="FT84" s="75" t="s">
        <v>343</v>
      </c>
      <c r="FV84" s="75" t="s">
        <v>343</v>
      </c>
      <c r="FZ84" s="75" t="s">
        <v>343</v>
      </c>
      <c r="GA84" s="75"/>
      <c r="GB84" s="75" t="s">
        <v>343</v>
      </c>
      <c r="GC84" s="75" t="s">
        <v>343</v>
      </c>
      <c r="GF84" s="75" t="s">
        <v>343</v>
      </c>
      <c r="GH84" s="81" t="s">
        <v>343</v>
      </c>
      <c r="GI84" s="81" t="s">
        <v>319</v>
      </c>
      <c r="GJ84" s="81" t="s">
        <v>343</v>
      </c>
      <c r="GK84" s="81" t="s">
        <v>343</v>
      </c>
      <c r="GL84" s="81" t="s">
        <v>343</v>
      </c>
      <c r="GM84" s="81"/>
      <c r="GO84" s="75" t="s">
        <v>343</v>
      </c>
      <c r="GP84" s="75" t="s">
        <v>343</v>
      </c>
      <c r="GT84" s="75" t="s">
        <v>343</v>
      </c>
      <c r="GX84" s="75" t="s">
        <v>343</v>
      </c>
      <c r="HC84" s="75" t="s">
        <v>343</v>
      </c>
      <c r="HG84" s="75" t="s">
        <v>343</v>
      </c>
      <c r="HH84" s="75" t="s">
        <v>343</v>
      </c>
      <c r="HK84" s="75" t="s">
        <v>343</v>
      </c>
      <c r="HP84" s="75" t="s">
        <v>343</v>
      </c>
      <c r="HQ84" s="75" t="s">
        <v>343</v>
      </c>
      <c r="HV84" s="75" t="s">
        <v>343</v>
      </c>
      <c r="IB84" s="81" t="s">
        <v>343</v>
      </c>
      <c r="IC84" s="81" t="s">
        <v>319</v>
      </c>
      <c r="ID84" s="81" t="s">
        <v>319</v>
      </c>
      <c r="IE84" s="81" t="s">
        <v>319</v>
      </c>
      <c r="IF84" s="81" t="s">
        <v>343</v>
      </c>
      <c r="IG84" s="81" t="s">
        <v>343</v>
      </c>
      <c r="IH84" s="81"/>
      <c r="II84" s="75" t="s">
        <v>343</v>
      </c>
      <c r="IJ84" s="75" t="s">
        <v>343</v>
      </c>
      <c r="IK84" s="75" t="s">
        <v>343</v>
      </c>
      <c r="IL84" s="75" t="s">
        <v>343</v>
      </c>
      <c r="IM84" s="75" t="s">
        <v>343</v>
      </c>
      <c r="IN84" s="81"/>
      <c r="IT84" s="75" t="s">
        <v>343</v>
      </c>
      <c r="IY84" s="75" t="s">
        <v>343</v>
      </c>
      <c r="JC84" s="81" t="s">
        <v>343</v>
      </c>
      <c r="JE84" s="81" t="s">
        <v>343</v>
      </c>
      <c r="JF84" s="81" t="s">
        <v>319</v>
      </c>
      <c r="JG84" s="81" t="s">
        <v>319</v>
      </c>
      <c r="JH84" s="81" t="s">
        <v>319</v>
      </c>
      <c r="JI84" s="81" t="s">
        <v>319</v>
      </c>
      <c r="JJ84" s="81" t="s">
        <v>343</v>
      </c>
      <c r="JK84" s="81" t="s">
        <v>343</v>
      </c>
      <c r="JL84" s="81"/>
      <c r="JN84" s="75" t="s">
        <v>343</v>
      </c>
      <c r="JP84" s="81"/>
      <c r="JR84" s="75" t="s">
        <v>343</v>
      </c>
      <c r="JS84" s="75" t="s">
        <v>343</v>
      </c>
      <c r="JT84" s="75" t="s">
        <v>343</v>
      </c>
    </row>
    <row r="85" spans="1:280" x14ac:dyDescent="0.15">
      <c r="A85" s="214" t="s">
        <v>24</v>
      </c>
      <c r="B85" s="6" t="s">
        <v>487</v>
      </c>
      <c r="C85" s="6">
        <v>140000</v>
      </c>
      <c r="D85" s="6">
        <v>1</v>
      </c>
      <c r="E85" s="6">
        <v>5</v>
      </c>
      <c r="F85" s="6">
        <v>5</v>
      </c>
      <c r="G85" s="6" t="s">
        <v>37</v>
      </c>
      <c r="H85" s="6" t="s">
        <v>40</v>
      </c>
      <c r="I85" s="6" t="s">
        <v>41</v>
      </c>
      <c r="J85" s="21" t="s">
        <v>52</v>
      </c>
      <c r="K85" s="21">
        <v>2</v>
      </c>
      <c r="L85" s="21">
        <v>2</v>
      </c>
      <c r="M85" s="21">
        <v>1</v>
      </c>
      <c r="N85" s="21">
        <v>0</v>
      </c>
      <c r="O85" s="21">
        <v>0</v>
      </c>
      <c r="P85" s="21" t="str">
        <f>IF(TeamT[[#This Row],[General]]+TeamT[[#This Row],[Agility]]+TeamT[[#This Row],[Strength]]+TeamT[[#This Row],[Passing]]+TeamT[[#This Row],[Mutation]]&gt;0,IF(TeamT[[#This Row],[General]]=1,"G","")&amp;IF(TeamT[[#This Row],[Agility]]=1,"A","")&amp;IF(TeamT[[#This Row],[Strength]]=1,"S","")&amp;IF(TeamT[[#This Row],[Passing]]=1,"P","")&amp;IF(TeamT[[#This Row],[Mutation]]=1,"M",""),"Star")</f>
        <v>S</v>
      </c>
      <c r="Q85" s="21" t="str">
        <f>IF(TeamT[[#This Row],[General]]=2,"G","")&amp;IF(TeamT[[#This Row],[Agility]]=2,"A","")&amp;IF(TeamT[[#This Row],[Strength]]=2,"S","")&amp;IF(TeamT[[#This Row],[Passing]]=2,"P","")&amp;IF(TeamT[[#This Row],[Mutation]]=2,"M","")</f>
        <v>GA</v>
      </c>
      <c r="R85" s="212"/>
      <c r="S85" s="21">
        <v>4</v>
      </c>
      <c r="T85" s="21">
        <v>5</v>
      </c>
      <c r="U85" s="21">
        <v>10</v>
      </c>
      <c r="AA85" s="76" t="e">
        <f>HLOOKUP(Roster!$E$5,Team!$BL$2:$MK$128,84,FALSE)</f>
        <v>#N/A</v>
      </c>
      <c r="AB85" s="76" t="e">
        <f>HLOOKUP(Roster!$E$6,Team!$BL$2:$MK$128,84,FALSE)</f>
        <v>#N/A</v>
      </c>
      <c r="AC85" s="76" t="e">
        <f>HLOOKUP(Roster!$E$7,Team!$BL$2:$MK$128,84,FALSE)</f>
        <v>#N/A</v>
      </c>
      <c r="AD85" s="76" t="e">
        <f>HLOOKUP(Roster!$E$8,Team!$BL$2:$MK$128,84,FALSE)</f>
        <v>#N/A</v>
      </c>
      <c r="AE85" s="76" t="e">
        <f>HLOOKUP(Roster!$E$9,Team!$BL$2:$MK$128,84,FALSE)</f>
        <v>#N/A</v>
      </c>
      <c r="AF85" s="76" t="e">
        <f>HLOOKUP(Roster!$E$10,Team!$BL$2:$MK$128,84,FALSE)</f>
        <v>#N/A</v>
      </c>
      <c r="AG85" s="76" t="e">
        <f>HLOOKUP(Roster!$E$11,Team!$BL$2:$MK$128,84,FALSE)</f>
        <v>#N/A</v>
      </c>
      <c r="AH85" s="76" t="e">
        <f>HLOOKUP(Roster!$E$12,Team!$BL$2:$MK$128,84,FALSE)</f>
        <v>#N/A</v>
      </c>
      <c r="AI85" s="76" t="e">
        <f>HLOOKUP(Roster!$E$13,Team!$BL$2:$MK$128,84,FALSE)</f>
        <v>#N/A</v>
      </c>
      <c r="AJ85" s="76" t="e">
        <f>HLOOKUP(Roster!$E$14,Team!$BL$2:$MK$128,84,FALSE)</f>
        <v>#N/A</v>
      </c>
      <c r="AK85" s="76" t="e">
        <f>HLOOKUP(Roster!$E$15,Team!$BL$2:$MK$128,84,FALSE)</f>
        <v>#N/A</v>
      </c>
      <c r="AL85" s="76" t="e">
        <f>HLOOKUP(Roster!$E$16,Team!$BL$2:$MK$128,84,FALSE)</f>
        <v>#N/A</v>
      </c>
      <c r="AM85" s="76" t="e">
        <f>HLOOKUP(Roster!$E$17,Team!$BL$2:$MK$128,84,FALSE)</f>
        <v>#N/A</v>
      </c>
      <c r="AN85" s="76" t="e">
        <f>HLOOKUP(Roster!$E$18,Team!$BL$2:$MK$128,84,FALSE)</f>
        <v>#N/A</v>
      </c>
      <c r="AO85" s="76" t="e">
        <f>HLOOKUP(Roster!$E$19,Team!$BL$2:$MK$128,84,FALSE)</f>
        <v>#N/A</v>
      </c>
      <c r="AP85" s="76" t="e">
        <f>HLOOKUP(Roster!$E$20,Team!$BL$2:$MK$128,84,FALSE)</f>
        <v>#N/A</v>
      </c>
      <c r="AR85" s="108">
        <f t="shared" si="17"/>
        <v>0</v>
      </c>
      <c r="AS85" s="108">
        <f t="shared" si="18"/>
        <v>0</v>
      </c>
      <c r="AT85" s="108">
        <f t="shared" si="19"/>
        <v>0</v>
      </c>
      <c r="AU85" s="108">
        <f t="shared" si="20"/>
        <v>0</v>
      </c>
      <c r="AV85" s="108">
        <f t="shared" si="21"/>
        <v>0</v>
      </c>
      <c r="AW85" s="108">
        <f t="shared" si="22"/>
        <v>0</v>
      </c>
      <c r="AX85" s="108">
        <f t="shared" si="23"/>
        <v>0</v>
      </c>
      <c r="AY85" s="108">
        <f t="shared" si="24"/>
        <v>0</v>
      </c>
      <c r="AZ85" s="108">
        <f t="shared" si="25"/>
        <v>0</v>
      </c>
      <c r="BA85" s="108">
        <f t="shared" si="26"/>
        <v>0</v>
      </c>
      <c r="BB85" s="108">
        <f t="shared" si="27"/>
        <v>0</v>
      </c>
      <c r="BC85" s="108">
        <f t="shared" si="28"/>
        <v>0</v>
      </c>
      <c r="BD85" s="108">
        <f t="shared" si="29"/>
        <v>0</v>
      </c>
      <c r="BE85" s="108">
        <f t="shared" si="30"/>
        <v>0</v>
      </c>
      <c r="BF85" s="108">
        <f t="shared" si="31"/>
        <v>0</v>
      </c>
      <c r="BG85" s="108">
        <f t="shared" si="32"/>
        <v>0</v>
      </c>
      <c r="BM85" s="75" t="s">
        <v>344</v>
      </c>
      <c r="BQ85" s="75"/>
      <c r="BR85" s="75" t="s">
        <v>344</v>
      </c>
      <c r="BS85" s="75" t="s">
        <v>344</v>
      </c>
      <c r="BT85" s="75" t="s">
        <v>344</v>
      </c>
      <c r="BU85" s="75" t="s">
        <v>344</v>
      </c>
      <c r="BV85" s="75"/>
      <c r="BW85" s="81" t="s">
        <v>320</v>
      </c>
      <c r="BX85" s="81" t="s">
        <v>344</v>
      </c>
      <c r="BY85" s="81" t="s">
        <v>344</v>
      </c>
      <c r="BZ85" s="81" t="s">
        <v>344</v>
      </c>
      <c r="CA85" s="81" t="s">
        <v>344</v>
      </c>
      <c r="CB85" s="81" t="s">
        <v>320</v>
      </c>
      <c r="CC85" s="77"/>
      <c r="CD85" s="77"/>
      <c r="CE85" s="81" t="s">
        <v>344</v>
      </c>
      <c r="CF85" s="77"/>
      <c r="CG85" s="81" t="s">
        <v>344</v>
      </c>
      <c r="CH85" s="77"/>
      <c r="CI85" s="77"/>
      <c r="CJ85" s="81" t="s">
        <v>344</v>
      </c>
      <c r="CK85" s="81" t="s">
        <v>320</v>
      </c>
      <c r="CL85" s="81" t="s">
        <v>344</v>
      </c>
      <c r="CM85" s="81" t="s">
        <v>344</v>
      </c>
      <c r="CN85" s="81" t="s">
        <v>344</v>
      </c>
      <c r="CO85" s="81" t="s">
        <v>320</v>
      </c>
      <c r="CP85" s="81" t="s">
        <v>344</v>
      </c>
      <c r="CQ85" s="81" t="s">
        <v>344</v>
      </c>
      <c r="CR85" s="81" t="s">
        <v>344</v>
      </c>
      <c r="CS85" s="81" t="s">
        <v>344</v>
      </c>
      <c r="CT85" s="81" t="s">
        <v>344</v>
      </c>
      <c r="CU85" s="81"/>
      <c r="CV85" s="75" t="s">
        <v>344</v>
      </c>
      <c r="CW85" s="75" t="s">
        <v>344</v>
      </c>
      <c r="CX85" s="75" t="s">
        <v>344</v>
      </c>
      <c r="CY85" s="75" t="s">
        <v>344</v>
      </c>
      <c r="CZ85" s="75" t="s">
        <v>344</v>
      </c>
      <c r="DA85" s="81"/>
      <c r="DC85" s="75" t="s">
        <v>344</v>
      </c>
      <c r="DD85" s="75" t="s">
        <v>344</v>
      </c>
      <c r="DE85" s="75" t="s">
        <v>344</v>
      </c>
      <c r="DF85" s="75" t="s">
        <v>344</v>
      </c>
      <c r="DJ85" s="75" t="s">
        <v>344</v>
      </c>
      <c r="DK85" s="75" t="s">
        <v>344</v>
      </c>
      <c r="DQ85" s="75" t="s">
        <v>344</v>
      </c>
      <c r="DS85" s="75" t="s">
        <v>344</v>
      </c>
      <c r="DV85" s="75" t="s">
        <v>344</v>
      </c>
      <c r="DW85" s="75" t="s">
        <v>344</v>
      </c>
      <c r="DZ85" s="75" t="s">
        <v>344</v>
      </c>
      <c r="EA85" s="75" t="s">
        <v>344</v>
      </c>
      <c r="EC85" s="75" t="s">
        <v>344</v>
      </c>
      <c r="ED85" s="75" t="s">
        <v>344</v>
      </c>
      <c r="EE85" s="75"/>
      <c r="EG85" s="75" t="s">
        <v>344</v>
      </c>
      <c r="EI85" s="75" t="s">
        <v>344</v>
      </c>
      <c r="EL85" s="75" t="s">
        <v>344</v>
      </c>
      <c r="EM85" s="75" t="s">
        <v>344</v>
      </c>
      <c r="EO85" s="75" t="s">
        <v>344</v>
      </c>
      <c r="EP85" s="75" t="s">
        <v>344</v>
      </c>
      <c r="ES85" s="75" t="s">
        <v>344</v>
      </c>
      <c r="ET85" s="75" t="s">
        <v>344</v>
      </c>
      <c r="EU85" s="75" t="s">
        <v>344</v>
      </c>
      <c r="FA85" s="75" t="s">
        <v>344</v>
      </c>
      <c r="FB85" s="75" t="s">
        <v>344</v>
      </c>
      <c r="FG85" s="81" t="s">
        <v>344</v>
      </c>
      <c r="FH85" s="81" t="s">
        <v>320</v>
      </c>
      <c r="FI85" s="81" t="s">
        <v>344</v>
      </c>
      <c r="FJ85" s="81" t="s">
        <v>344</v>
      </c>
      <c r="FK85" s="81" t="s">
        <v>344</v>
      </c>
      <c r="FM85" s="75" t="s">
        <v>344</v>
      </c>
      <c r="FN85" s="75" t="s">
        <v>344</v>
      </c>
      <c r="FQ85" s="75" t="s">
        <v>344</v>
      </c>
      <c r="FR85" s="75"/>
      <c r="FT85" s="75" t="s">
        <v>344</v>
      </c>
      <c r="FV85" s="75" t="s">
        <v>344</v>
      </c>
      <c r="FZ85" s="75" t="s">
        <v>344</v>
      </c>
      <c r="GA85" s="75"/>
      <c r="GB85" s="75" t="s">
        <v>344</v>
      </c>
      <c r="GC85" s="75" t="s">
        <v>344</v>
      </c>
      <c r="GF85" s="75" t="s">
        <v>344</v>
      </c>
      <c r="GH85" s="81" t="s">
        <v>344</v>
      </c>
      <c r="GI85" s="81" t="s">
        <v>320</v>
      </c>
      <c r="GJ85" s="81" t="s">
        <v>344</v>
      </c>
      <c r="GK85" s="81" t="s">
        <v>344</v>
      </c>
      <c r="GL85" s="81" t="s">
        <v>344</v>
      </c>
      <c r="GM85" s="81"/>
      <c r="GO85" s="75" t="s">
        <v>344</v>
      </c>
      <c r="GP85" s="75" t="s">
        <v>344</v>
      </c>
      <c r="GT85" s="75" t="s">
        <v>344</v>
      </c>
      <c r="GX85" s="75" t="s">
        <v>344</v>
      </c>
      <c r="HC85" s="75" t="s">
        <v>344</v>
      </c>
      <c r="HG85" s="75" t="s">
        <v>344</v>
      </c>
      <c r="HH85" s="75" t="s">
        <v>344</v>
      </c>
      <c r="HK85" s="75" t="s">
        <v>344</v>
      </c>
      <c r="HP85" s="75" t="s">
        <v>344</v>
      </c>
      <c r="HQ85" s="75" t="s">
        <v>344</v>
      </c>
      <c r="HV85" s="75" t="s">
        <v>344</v>
      </c>
      <c r="IB85" s="81" t="s">
        <v>344</v>
      </c>
      <c r="IC85" s="81" t="s">
        <v>320</v>
      </c>
      <c r="ID85" s="81" t="s">
        <v>320</v>
      </c>
      <c r="IE85" s="81" t="s">
        <v>320</v>
      </c>
      <c r="IF85" s="81" t="s">
        <v>344</v>
      </c>
      <c r="IG85" s="81" t="s">
        <v>344</v>
      </c>
      <c r="IH85" s="81"/>
      <c r="II85" s="75" t="s">
        <v>344</v>
      </c>
      <c r="IJ85" s="75" t="s">
        <v>344</v>
      </c>
      <c r="IK85" s="75" t="s">
        <v>344</v>
      </c>
      <c r="IL85" s="75" t="s">
        <v>344</v>
      </c>
      <c r="IM85" s="75" t="s">
        <v>344</v>
      </c>
      <c r="IN85" s="81"/>
      <c r="IT85" s="75" t="s">
        <v>344</v>
      </c>
      <c r="IY85" s="75" t="s">
        <v>344</v>
      </c>
      <c r="JC85" s="81" t="s">
        <v>344</v>
      </c>
      <c r="JE85" s="81" t="s">
        <v>344</v>
      </c>
      <c r="JF85" s="81" t="s">
        <v>320</v>
      </c>
      <c r="JG85" s="81" t="s">
        <v>320</v>
      </c>
      <c r="JH85" s="81" t="s">
        <v>320</v>
      </c>
      <c r="JI85" s="81" t="s">
        <v>320</v>
      </c>
      <c r="JJ85" s="81" t="s">
        <v>344</v>
      </c>
      <c r="JK85" s="81" t="s">
        <v>344</v>
      </c>
      <c r="JL85" s="81"/>
      <c r="JN85" s="75" t="s">
        <v>344</v>
      </c>
      <c r="JP85" s="81"/>
      <c r="JR85" s="75" t="s">
        <v>344</v>
      </c>
      <c r="JS85" s="75" t="s">
        <v>344</v>
      </c>
      <c r="JT85" s="75" t="s">
        <v>344</v>
      </c>
    </row>
    <row r="86" spans="1:280" x14ac:dyDescent="0.15">
      <c r="A86" s="214" t="s">
        <v>546</v>
      </c>
      <c r="B86" s="6" t="s">
        <v>487</v>
      </c>
      <c r="C86" s="6">
        <v>45000</v>
      </c>
      <c r="D86" s="6">
        <v>11</v>
      </c>
      <c r="E86" s="6">
        <v>6</v>
      </c>
      <c r="F86" s="6">
        <v>3</v>
      </c>
      <c r="G86" s="6" t="s">
        <v>37</v>
      </c>
      <c r="H86" s="6" t="s">
        <v>37</v>
      </c>
      <c r="I86" s="6" t="s">
        <v>38</v>
      </c>
      <c r="J86" s="21" t="s">
        <v>120</v>
      </c>
      <c r="K86" s="21">
        <v>1</v>
      </c>
      <c r="L86" s="21">
        <v>2</v>
      </c>
      <c r="M86" s="21">
        <v>2</v>
      </c>
      <c r="N86" s="21">
        <v>0</v>
      </c>
      <c r="O86" s="21">
        <v>0</v>
      </c>
      <c r="P86" s="21" t="str">
        <f>IF(TeamT[[#This Row],[General]]+TeamT[[#This Row],[Agility]]+TeamT[[#This Row],[Strength]]+TeamT[[#This Row],[Passing]]+TeamT[[#This Row],[Mutation]]&gt;0,IF(TeamT[[#This Row],[General]]=1,"G","")&amp;IF(TeamT[[#This Row],[Agility]]=1,"A","")&amp;IF(TeamT[[#This Row],[Strength]]=1,"S","")&amp;IF(TeamT[[#This Row],[Passing]]=1,"P","")&amp;IF(TeamT[[#This Row],[Mutation]]=1,"M",""),"Star")</f>
        <v>G</v>
      </c>
      <c r="Q86" s="21" t="str">
        <f>IF(TeamT[[#This Row],[General]]=2,"G","")&amp;IF(TeamT[[#This Row],[Agility]]=2,"A","")&amp;IF(TeamT[[#This Row],[Strength]]=2,"S","")&amp;IF(TeamT[[#This Row],[Passing]]=2,"P","")&amp;IF(TeamT[[#This Row],[Mutation]]=2,"M","")</f>
        <v>AS</v>
      </c>
      <c r="R86" s="212"/>
      <c r="S86" s="21">
        <v>4</v>
      </c>
      <c r="T86" s="21">
        <v>4</v>
      </c>
      <c r="U86" s="21">
        <v>8</v>
      </c>
      <c r="AA86" s="76" t="e">
        <f>HLOOKUP(Roster!$E$5,Team!$BL$2:$MK$128,85,FALSE)</f>
        <v>#N/A</v>
      </c>
      <c r="AB86" s="76" t="e">
        <f>HLOOKUP(Roster!$E$6,Team!$BL$2:$MK$128,85,FALSE)</f>
        <v>#N/A</v>
      </c>
      <c r="AC86" s="76" t="e">
        <f>HLOOKUP(Roster!$E$7,Team!$BL$2:$MK$128,85,FALSE)</f>
        <v>#N/A</v>
      </c>
      <c r="AD86" s="76" t="e">
        <f>HLOOKUP(Roster!$E$8,Team!$BL$2:$MK$128,85,FALSE)</f>
        <v>#N/A</v>
      </c>
      <c r="AE86" s="76" t="e">
        <f>HLOOKUP(Roster!$E$9,Team!$BL$2:$MK$128,85,FALSE)</f>
        <v>#N/A</v>
      </c>
      <c r="AF86" s="76" t="e">
        <f>HLOOKUP(Roster!$E$10,Team!$BL$2:$MK$128,85,FALSE)</f>
        <v>#N/A</v>
      </c>
      <c r="AG86" s="76" t="e">
        <f>HLOOKUP(Roster!$E$11,Team!$BL$2:$MK$128,85,FALSE)</f>
        <v>#N/A</v>
      </c>
      <c r="AH86" s="76" t="e">
        <f>HLOOKUP(Roster!$E$12,Team!$BL$2:$MK$128,85,FALSE)</f>
        <v>#N/A</v>
      </c>
      <c r="AI86" s="76" t="e">
        <f>HLOOKUP(Roster!$E$13,Team!$BL$2:$MK$128,85,FALSE)</f>
        <v>#N/A</v>
      </c>
      <c r="AJ86" s="76" t="e">
        <f>HLOOKUP(Roster!$E$14,Team!$BL$2:$MK$128,85,FALSE)</f>
        <v>#N/A</v>
      </c>
      <c r="AK86" s="76" t="e">
        <f>HLOOKUP(Roster!$E$15,Team!$BL$2:$MK$128,85,FALSE)</f>
        <v>#N/A</v>
      </c>
      <c r="AL86" s="76" t="e">
        <f>HLOOKUP(Roster!$E$16,Team!$BL$2:$MK$128,85,FALSE)</f>
        <v>#N/A</v>
      </c>
      <c r="AM86" s="76" t="e">
        <f>HLOOKUP(Roster!$E$17,Team!$BL$2:$MK$128,85,FALSE)</f>
        <v>#N/A</v>
      </c>
      <c r="AN86" s="76" t="e">
        <f>HLOOKUP(Roster!$E$18,Team!$BL$2:$MK$128,85,FALSE)</f>
        <v>#N/A</v>
      </c>
      <c r="AO86" s="76" t="e">
        <f>HLOOKUP(Roster!$E$19,Team!$BL$2:$MK$128,85,FALSE)</f>
        <v>#N/A</v>
      </c>
      <c r="AP86" s="76" t="e">
        <f>HLOOKUP(Roster!$E$20,Team!$BL$2:$MK$128,85,FALSE)</f>
        <v>#N/A</v>
      </c>
      <c r="AR86" s="108">
        <f t="shared" si="17"/>
        <v>0</v>
      </c>
      <c r="AS86" s="108">
        <f t="shared" si="18"/>
        <v>0</v>
      </c>
      <c r="AT86" s="108">
        <f t="shared" si="19"/>
        <v>0</v>
      </c>
      <c r="AU86" s="108">
        <f t="shared" si="20"/>
        <v>0</v>
      </c>
      <c r="AV86" s="108">
        <f t="shared" si="21"/>
        <v>0</v>
      </c>
      <c r="AW86" s="108">
        <f t="shared" si="22"/>
        <v>0</v>
      </c>
      <c r="AX86" s="108">
        <f t="shared" si="23"/>
        <v>0</v>
      </c>
      <c r="AY86" s="108">
        <f t="shared" si="24"/>
        <v>0</v>
      </c>
      <c r="AZ86" s="108">
        <f t="shared" si="25"/>
        <v>0</v>
      </c>
      <c r="BA86" s="108">
        <f t="shared" si="26"/>
        <v>0</v>
      </c>
      <c r="BB86" s="108">
        <f t="shared" si="27"/>
        <v>0</v>
      </c>
      <c r="BC86" s="108">
        <f t="shared" si="28"/>
        <v>0</v>
      </c>
      <c r="BD86" s="108">
        <f t="shared" si="29"/>
        <v>0</v>
      </c>
      <c r="BE86" s="108">
        <f t="shared" si="30"/>
        <v>0</v>
      </c>
      <c r="BF86" s="108">
        <f t="shared" si="31"/>
        <v>0</v>
      </c>
      <c r="BG86" s="108">
        <f t="shared" si="32"/>
        <v>0</v>
      </c>
      <c r="BM86" s="75" t="s">
        <v>345</v>
      </c>
      <c r="BQ86" s="75"/>
      <c r="BR86" s="75" t="s">
        <v>345</v>
      </c>
      <c r="BS86" s="75" t="s">
        <v>345</v>
      </c>
      <c r="BT86" s="75" t="s">
        <v>345</v>
      </c>
      <c r="BU86" s="75" t="s">
        <v>345</v>
      </c>
      <c r="BV86" s="75"/>
      <c r="BW86" s="81" t="s">
        <v>321</v>
      </c>
      <c r="BX86" s="81" t="s">
        <v>345</v>
      </c>
      <c r="BY86" s="81" t="s">
        <v>345</v>
      </c>
      <c r="BZ86" s="81" t="s">
        <v>345</v>
      </c>
      <c r="CA86" s="81" t="s">
        <v>345</v>
      </c>
      <c r="CB86" s="81" t="s">
        <v>321</v>
      </c>
      <c r="CC86" s="77"/>
      <c r="CD86" s="77"/>
      <c r="CE86" s="81" t="s">
        <v>345</v>
      </c>
      <c r="CF86" s="77"/>
      <c r="CG86" s="81" t="s">
        <v>345</v>
      </c>
      <c r="CH86" s="77"/>
      <c r="CI86" s="77"/>
      <c r="CJ86" s="81" t="s">
        <v>345</v>
      </c>
      <c r="CK86" s="81" t="s">
        <v>321</v>
      </c>
      <c r="CL86" s="81" t="s">
        <v>345</v>
      </c>
      <c r="CM86" s="81" t="s">
        <v>345</v>
      </c>
      <c r="CN86" s="81" t="s">
        <v>345</v>
      </c>
      <c r="CO86" s="81" t="s">
        <v>321</v>
      </c>
      <c r="CP86" s="81" t="s">
        <v>345</v>
      </c>
      <c r="CQ86" s="81" t="s">
        <v>345</v>
      </c>
      <c r="CR86" s="81" t="s">
        <v>345</v>
      </c>
      <c r="CS86" s="81" t="s">
        <v>345</v>
      </c>
      <c r="CT86" s="81" t="s">
        <v>345</v>
      </c>
      <c r="CU86" s="81"/>
      <c r="CV86" s="75" t="s">
        <v>345</v>
      </c>
      <c r="CW86" s="75" t="s">
        <v>345</v>
      </c>
      <c r="CX86" s="75" t="s">
        <v>345</v>
      </c>
      <c r="CY86" s="75" t="s">
        <v>345</v>
      </c>
      <c r="CZ86" s="75" t="s">
        <v>345</v>
      </c>
      <c r="DA86" s="81"/>
      <c r="DC86" s="75" t="s">
        <v>345</v>
      </c>
      <c r="DD86" s="75" t="s">
        <v>345</v>
      </c>
      <c r="DE86" s="75" t="s">
        <v>345</v>
      </c>
      <c r="DF86" s="75" t="s">
        <v>345</v>
      </c>
      <c r="DJ86" s="75" t="s">
        <v>345</v>
      </c>
      <c r="DK86" s="75" t="s">
        <v>345</v>
      </c>
      <c r="DQ86" s="75" t="s">
        <v>345</v>
      </c>
      <c r="DS86" s="75" t="s">
        <v>345</v>
      </c>
      <c r="DV86" s="75" t="s">
        <v>345</v>
      </c>
      <c r="DW86" s="75" t="s">
        <v>345</v>
      </c>
      <c r="DZ86" s="75" t="s">
        <v>345</v>
      </c>
      <c r="EA86" s="75" t="s">
        <v>345</v>
      </c>
      <c r="EC86" s="75" t="s">
        <v>345</v>
      </c>
      <c r="ED86" s="75" t="s">
        <v>345</v>
      </c>
      <c r="EE86" s="75"/>
      <c r="EG86" s="75" t="s">
        <v>345</v>
      </c>
      <c r="EI86" s="75" t="s">
        <v>345</v>
      </c>
      <c r="EL86" s="75" t="s">
        <v>345</v>
      </c>
      <c r="EM86" s="75" t="s">
        <v>345</v>
      </c>
      <c r="EO86" s="75" t="s">
        <v>345</v>
      </c>
      <c r="EP86" s="75" t="s">
        <v>345</v>
      </c>
      <c r="ES86" s="75" t="s">
        <v>345</v>
      </c>
      <c r="ET86" s="75" t="s">
        <v>345</v>
      </c>
      <c r="EU86" s="75" t="s">
        <v>345</v>
      </c>
      <c r="FA86" s="75" t="s">
        <v>345</v>
      </c>
      <c r="FB86" s="75" t="s">
        <v>345</v>
      </c>
      <c r="FG86" s="81" t="s">
        <v>345</v>
      </c>
      <c r="FH86" s="81" t="s">
        <v>321</v>
      </c>
      <c r="FI86" s="81" t="s">
        <v>345</v>
      </c>
      <c r="FJ86" s="81" t="s">
        <v>345</v>
      </c>
      <c r="FK86" s="81" t="s">
        <v>345</v>
      </c>
      <c r="FM86" s="75" t="s">
        <v>345</v>
      </c>
      <c r="FN86" s="75" t="s">
        <v>345</v>
      </c>
      <c r="FQ86" s="75" t="s">
        <v>345</v>
      </c>
      <c r="FR86" s="75"/>
      <c r="FT86" s="75" t="s">
        <v>345</v>
      </c>
      <c r="FV86" s="75" t="s">
        <v>345</v>
      </c>
      <c r="FZ86" s="75" t="s">
        <v>345</v>
      </c>
      <c r="GA86" s="75"/>
      <c r="GB86" s="75" t="s">
        <v>345</v>
      </c>
      <c r="GC86" s="75" t="s">
        <v>345</v>
      </c>
      <c r="GF86" s="75" t="s">
        <v>345</v>
      </c>
      <c r="GH86" s="81" t="s">
        <v>345</v>
      </c>
      <c r="GI86" s="81" t="s">
        <v>321</v>
      </c>
      <c r="GJ86" s="81" t="s">
        <v>345</v>
      </c>
      <c r="GK86" s="81" t="s">
        <v>345</v>
      </c>
      <c r="GL86" s="81" t="s">
        <v>345</v>
      </c>
      <c r="GM86" s="81"/>
      <c r="GO86" s="75" t="s">
        <v>345</v>
      </c>
      <c r="GP86" s="75" t="s">
        <v>345</v>
      </c>
      <c r="GT86" s="75" t="s">
        <v>345</v>
      </c>
      <c r="GX86" s="75" t="s">
        <v>345</v>
      </c>
      <c r="HC86" s="75" t="s">
        <v>345</v>
      </c>
      <c r="HG86" s="75" t="s">
        <v>345</v>
      </c>
      <c r="HH86" s="75" t="s">
        <v>345</v>
      </c>
      <c r="HK86" s="75" t="s">
        <v>345</v>
      </c>
      <c r="HP86" s="75" t="s">
        <v>345</v>
      </c>
      <c r="HQ86" s="75" t="s">
        <v>345</v>
      </c>
      <c r="HV86" s="75" t="s">
        <v>345</v>
      </c>
      <c r="IB86" s="81" t="s">
        <v>345</v>
      </c>
      <c r="IC86" s="81" t="s">
        <v>321</v>
      </c>
      <c r="ID86" s="81" t="s">
        <v>321</v>
      </c>
      <c r="IE86" s="81" t="s">
        <v>321</v>
      </c>
      <c r="IF86" s="81" t="s">
        <v>345</v>
      </c>
      <c r="IG86" s="81" t="s">
        <v>345</v>
      </c>
      <c r="IH86" s="81"/>
      <c r="II86" s="75" t="s">
        <v>345</v>
      </c>
      <c r="IJ86" s="75" t="s">
        <v>345</v>
      </c>
      <c r="IK86" s="75" t="s">
        <v>345</v>
      </c>
      <c r="IL86" s="75" t="s">
        <v>345</v>
      </c>
      <c r="IM86" s="75" t="s">
        <v>345</v>
      </c>
      <c r="IN86" s="81"/>
      <c r="IT86" s="75" t="s">
        <v>345</v>
      </c>
      <c r="IY86" s="75" t="s">
        <v>345</v>
      </c>
      <c r="JC86" s="81" t="s">
        <v>345</v>
      </c>
      <c r="JE86" s="81" t="s">
        <v>345</v>
      </c>
      <c r="JF86" s="81" t="s">
        <v>321</v>
      </c>
      <c r="JG86" s="81" t="s">
        <v>321</v>
      </c>
      <c r="JH86" s="81" t="s">
        <v>321</v>
      </c>
      <c r="JI86" s="81" t="s">
        <v>321</v>
      </c>
      <c r="JJ86" s="81" t="s">
        <v>345</v>
      </c>
      <c r="JK86" s="81" t="s">
        <v>345</v>
      </c>
      <c r="JL86" s="81"/>
      <c r="JN86" s="75" t="s">
        <v>345</v>
      </c>
      <c r="JP86" s="81"/>
      <c r="JR86" s="75" t="s">
        <v>345</v>
      </c>
      <c r="JS86" s="75" t="s">
        <v>345</v>
      </c>
      <c r="JT86" s="75" t="s">
        <v>345</v>
      </c>
    </row>
    <row r="87" spans="1:280" x14ac:dyDescent="0.15">
      <c r="A87" s="6" t="s">
        <v>721</v>
      </c>
      <c r="B87" s="6" t="s">
        <v>720</v>
      </c>
      <c r="C87" s="6">
        <v>50000</v>
      </c>
      <c r="D87" s="6">
        <v>16</v>
      </c>
      <c r="E87" s="6">
        <v>6</v>
      </c>
      <c r="F87" s="6">
        <v>3</v>
      </c>
      <c r="G87" s="6" t="s">
        <v>36</v>
      </c>
      <c r="H87" s="6" t="s">
        <v>37</v>
      </c>
      <c r="I87" s="6" t="s">
        <v>38</v>
      </c>
      <c r="J87" s="21" t="s">
        <v>606</v>
      </c>
      <c r="K87" s="21">
        <v>1</v>
      </c>
      <c r="L87" s="21">
        <v>2</v>
      </c>
      <c r="M87" s="21">
        <v>2</v>
      </c>
      <c r="N87" s="21">
        <v>0</v>
      </c>
      <c r="O87" s="21">
        <v>1</v>
      </c>
      <c r="P87" s="21" t="str">
        <f>IF(TeamT[[#This Row],[General]]+TeamT[[#This Row],[Agility]]+TeamT[[#This Row],[Strength]]+TeamT[[#This Row],[Passing]]+TeamT[[#This Row],[Mutation]]&gt;0,IF(TeamT[[#This Row],[General]]=1,"G","")&amp;IF(TeamT[[#This Row],[Agility]]=1,"A","")&amp;IF(TeamT[[#This Row],[Strength]]=1,"S","")&amp;IF(TeamT[[#This Row],[Passing]]=1,"P","")&amp;IF(TeamT[[#This Row],[Mutation]]=1,"M",""),"Star")</f>
        <v>GM</v>
      </c>
      <c r="Q87" s="23" t="str">
        <f>IF(TeamT[[#This Row],[General]]=2,"G","")&amp;IF(TeamT[[#This Row],[Agility]]=2,"A","")&amp;IF(TeamT[[#This Row],[Strength]]=2,"S","")&amp;IF(TeamT[[#This Row],[Passing]]=2,"P","")&amp;IF(TeamT[[#This Row],[Mutation]]=2,"M","")</f>
        <v>AS</v>
      </c>
      <c r="R87" s="212"/>
      <c r="S87" s="21">
        <v>3</v>
      </c>
      <c r="T87" s="21">
        <v>4</v>
      </c>
      <c r="U87" s="21">
        <v>8</v>
      </c>
      <c r="AA87" s="76" t="e">
        <f>HLOOKUP(Roster!$E$5,Team!$BL$2:$MK$128,86,FALSE)</f>
        <v>#N/A</v>
      </c>
      <c r="AB87" s="76" t="e">
        <f>HLOOKUP(Roster!$E$6,Team!$BL$2:$MK$128,86,FALSE)</f>
        <v>#N/A</v>
      </c>
      <c r="AC87" s="76" t="e">
        <f>HLOOKUP(Roster!$E$7,Team!$BL$2:$MK$128,86,FALSE)</f>
        <v>#N/A</v>
      </c>
      <c r="AD87" s="76" t="e">
        <f>HLOOKUP(Roster!$E$8,Team!$BL$2:$MK$128,86,FALSE)</f>
        <v>#N/A</v>
      </c>
      <c r="AE87" s="76" t="e">
        <f>HLOOKUP(Roster!$E$9,Team!$BL$2:$MK$128,86,FALSE)</f>
        <v>#N/A</v>
      </c>
      <c r="AF87" s="76" t="e">
        <f>HLOOKUP(Roster!$E$10,Team!$BL$2:$MK$128,86,FALSE)</f>
        <v>#N/A</v>
      </c>
      <c r="AG87" s="76" t="e">
        <f>HLOOKUP(Roster!$E$11,Team!$BL$2:$MK$128,86,FALSE)</f>
        <v>#N/A</v>
      </c>
      <c r="AH87" s="76" t="e">
        <f>HLOOKUP(Roster!$E$12,Team!$BL$2:$MK$128,86,FALSE)</f>
        <v>#N/A</v>
      </c>
      <c r="AI87" s="76" t="e">
        <f>HLOOKUP(Roster!$E$13,Team!$BL$2:$MK$128,86,FALSE)</f>
        <v>#N/A</v>
      </c>
      <c r="AJ87" s="76" t="e">
        <f>HLOOKUP(Roster!$E$14,Team!$BL$2:$MK$128,86,FALSE)</f>
        <v>#N/A</v>
      </c>
      <c r="AK87" s="76" t="e">
        <f>HLOOKUP(Roster!$E$15,Team!$BL$2:$MK$128,86,FALSE)</f>
        <v>#N/A</v>
      </c>
      <c r="AL87" s="76" t="e">
        <f>HLOOKUP(Roster!$E$16,Team!$BL$2:$MK$128,86,FALSE)</f>
        <v>#N/A</v>
      </c>
      <c r="AM87" s="76" t="e">
        <f>HLOOKUP(Roster!$E$17,Team!$BL$2:$MK$128,86,FALSE)</f>
        <v>#N/A</v>
      </c>
      <c r="AN87" s="76" t="e">
        <f>HLOOKUP(Roster!$E$18,Team!$BL$2:$MK$128,86,FALSE)</f>
        <v>#N/A</v>
      </c>
      <c r="AO87" s="76" t="e">
        <f>HLOOKUP(Roster!$E$19,Team!$BL$2:$MK$128,86,FALSE)</f>
        <v>#N/A</v>
      </c>
      <c r="AP87" s="76" t="e">
        <f>HLOOKUP(Roster!$E$20,Team!$BL$2:$MK$128,86,FALSE)</f>
        <v>#N/A</v>
      </c>
      <c r="AR87" s="108">
        <f t="shared" si="17"/>
        <v>0</v>
      </c>
      <c r="AS87" s="108">
        <f t="shared" si="18"/>
        <v>0</v>
      </c>
      <c r="AT87" s="108">
        <f t="shared" si="19"/>
        <v>0</v>
      </c>
      <c r="AU87" s="108">
        <f t="shared" si="20"/>
        <v>0</v>
      </c>
      <c r="AV87" s="108">
        <f t="shared" si="21"/>
        <v>0</v>
      </c>
      <c r="AW87" s="108">
        <f t="shared" si="22"/>
        <v>0</v>
      </c>
      <c r="AX87" s="108">
        <f t="shared" si="23"/>
        <v>0</v>
      </c>
      <c r="AY87" s="108">
        <f t="shared" si="24"/>
        <v>0</v>
      </c>
      <c r="AZ87" s="108">
        <f t="shared" si="25"/>
        <v>0</v>
      </c>
      <c r="BA87" s="108">
        <f t="shared" si="26"/>
        <v>0</v>
      </c>
      <c r="BB87" s="108">
        <f t="shared" si="27"/>
        <v>0</v>
      </c>
      <c r="BC87" s="108">
        <f t="shared" si="28"/>
        <v>0</v>
      </c>
      <c r="BD87" s="108">
        <f t="shared" si="29"/>
        <v>0</v>
      </c>
      <c r="BE87" s="108">
        <f t="shared" si="30"/>
        <v>0</v>
      </c>
      <c r="BF87" s="108">
        <f t="shared" si="31"/>
        <v>0</v>
      </c>
      <c r="BG87" s="108">
        <f t="shared" si="32"/>
        <v>0</v>
      </c>
      <c r="BM87" s="75" t="s">
        <v>346</v>
      </c>
      <c r="BQ87" s="75"/>
      <c r="BR87" s="75" t="s">
        <v>346</v>
      </c>
      <c r="BS87" s="75" t="s">
        <v>346</v>
      </c>
      <c r="BT87" s="75" t="s">
        <v>346</v>
      </c>
      <c r="BU87" s="75" t="s">
        <v>346</v>
      </c>
      <c r="BV87" s="75"/>
      <c r="BW87" s="81" t="s">
        <v>322</v>
      </c>
      <c r="BX87" s="81" t="s">
        <v>346</v>
      </c>
      <c r="BY87" s="81" t="s">
        <v>346</v>
      </c>
      <c r="BZ87" s="81" t="s">
        <v>346</v>
      </c>
      <c r="CA87" s="81" t="s">
        <v>346</v>
      </c>
      <c r="CB87" s="81" t="s">
        <v>322</v>
      </c>
      <c r="CC87" s="77"/>
      <c r="CD87" s="77"/>
      <c r="CE87" s="81" t="s">
        <v>346</v>
      </c>
      <c r="CF87" s="77"/>
      <c r="CG87" s="81" t="s">
        <v>346</v>
      </c>
      <c r="CH87" s="77"/>
      <c r="CI87" s="77"/>
      <c r="CJ87" s="81" t="s">
        <v>346</v>
      </c>
      <c r="CK87" s="81" t="s">
        <v>322</v>
      </c>
      <c r="CL87" s="81" t="s">
        <v>346</v>
      </c>
      <c r="CM87" s="81" t="s">
        <v>346</v>
      </c>
      <c r="CN87" s="81" t="s">
        <v>346</v>
      </c>
      <c r="CO87" s="81" t="s">
        <v>322</v>
      </c>
      <c r="CP87" s="81" t="s">
        <v>346</v>
      </c>
      <c r="CQ87" s="81" t="s">
        <v>346</v>
      </c>
      <c r="CR87" s="81" t="s">
        <v>346</v>
      </c>
      <c r="CS87" s="81" t="s">
        <v>346</v>
      </c>
      <c r="CT87" s="81" t="s">
        <v>346</v>
      </c>
      <c r="CU87" s="81"/>
      <c r="CV87" s="75" t="s">
        <v>346</v>
      </c>
      <c r="CW87" s="75" t="s">
        <v>346</v>
      </c>
      <c r="CX87" s="75" t="s">
        <v>346</v>
      </c>
      <c r="CY87" s="75" t="s">
        <v>346</v>
      </c>
      <c r="CZ87" s="75" t="s">
        <v>346</v>
      </c>
      <c r="DA87" s="81"/>
      <c r="DC87" s="75" t="s">
        <v>346</v>
      </c>
      <c r="DD87" s="75" t="s">
        <v>346</v>
      </c>
      <c r="DE87" s="75" t="s">
        <v>346</v>
      </c>
      <c r="DF87" s="75" t="s">
        <v>346</v>
      </c>
      <c r="DJ87" s="75" t="s">
        <v>346</v>
      </c>
      <c r="DK87" s="75" t="s">
        <v>346</v>
      </c>
      <c r="DQ87" s="75" t="s">
        <v>346</v>
      </c>
      <c r="DS87" s="75" t="s">
        <v>346</v>
      </c>
      <c r="DV87" s="75" t="s">
        <v>346</v>
      </c>
      <c r="DW87" s="75" t="s">
        <v>346</v>
      </c>
      <c r="DZ87" s="75" t="s">
        <v>346</v>
      </c>
      <c r="EA87" s="75" t="s">
        <v>346</v>
      </c>
      <c r="EC87" s="75" t="s">
        <v>346</v>
      </c>
      <c r="ED87" s="75" t="s">
        <v>346</v>
      </c>
      <c r="EE87" s="75"/>
      <c r="EG87" s="75" t="s">
        <v>346</v>
      </c>
      <c r="EI87" s="75" t="s">
        <v>346</v>
      </c>
      <c r="EL87" s="75" t="s">
        <v>346</v>
      </c>
      <c r="EM87" s="75" t="s">
        <v>346</v>
      </c>
      <c r="EO87" s="75" t="s">
        <v>346</v>
      </c>
      <c r="EP87" s="75" t="s">
        <v>346</v>
      </c>
      <c r="ES87" s="75" t="s">
        <v>346</v>
      </c>
      <c r="ET87" s="75" t="s">
        <v>346</v>
      </c>
      <c r="EU87" s="75" t="s">
        <v>346</v>
      </c>
      <c r="FA87" s="75" t="s">
        <v>346</v>
      </c>
      <c r="FB87" s="75" t="s">
        <v>346</v>
      </c>
      <c r="FG87" s="81" t="s">
        <v>346</v>
      </c>
      <c r="FH87" s="81" t="s">
        <v>322</v>
      </c>
      <c r="FI87" s="81" t="s">
        <v>346</v>
      </c>
      <c r="FJ87" s="81" t="s">
        <v>346</v>
      </c>
      <c r="FK87" s="81" t="s">
        <v>346</v>
      </c>
      <c r="FM87" s="75" t="s">
        <v>346</v>
      </c>
      <c r="FN87" s="75" t="s">
        <v>346</v>
      </c>
      <c r="FQ87" s="75" t="s">
        <v>346</v>
      </c>
      <c r="FR87" s="75"/>
      <c r="FT87" s="75" t="s">
        <v>346</v>
      </c>
      <c r="FV87" s="75" t="s">
        <v>346</v>
      </c>
      <c r="FZ87" s="75" t="s">
        <v>346</v>
      </c>
      <c r="GA87" s="75"/>
      <c r="GB87" s="75" t="s">
        <v>346</v>
      </c>
      <c r="GC87" s="75" t="s">
        <v>346</v>
      </c>
      <c r="GF87" s="75" t="s">
        <v>346</v>
      </c>
      <c r="GH87" s="81" t="s">
        <v>346</v>
      </c>
      <c r="GI87" s="81" t="s">
        <v>322</v>
      </c>
      <c r="GJ87" s="81" t="s">
        <v>346</v>
      </c>
      <c r="GK87" s="81" t="s">
        <v>346</v>
      </c>
      <c r="GL87" s="81" t="s">
        <v>346</v>
      </c>
      <c r="GM87" s="81"/>
      <c r="GO87" s="75" t="s">
        <v>346</v>
      </c>
      <c r="GP87" s="75" t="s">
        <v>346</v>
      </c>
      <c r="GT87" s="75" t="s">
        <v>346</v>
      </c>
      <c r="GX87" s="75" t="s">
        <v>346</v>
      </c>
      <c r="HC87" s="75" t="s">
        <v>346</v>
      </c>
      <c r="HG87" s="75" t="s">
        <v>346</v>
      </c>
      <c r="HH87" s="75" t="s">
        <v>346</v>
      </c>
      <c r="HK87" s="75" t="s">
        <v>346</v>
      </c>
      <c r="HP87" s="75" t="s">
        <v>346</v>
      </c>
      <c r="HQ87" s="75" t="s">
        <v>346</v>
      </c>
      <c r="HV87" s="75" t="s">
        <v>346</v>
      </c>
      <c r="IB87" s="81" t="s">
        <v>346</v>
      </c>
      <c r="IC87" s="81" t="s">
        <v>322</v>
      </c>
      <c r="ID87" s="81" t="s">
        <v>322</v>
      </c>
      <c r="IE87" s="81" t="s">
        <v>322</v>
      </c>
      <c r="IF87" s="81" t="s">
        <v>346</v>
      </c>
      <c r="IG87" s="81" t="s">
        <v>346</v>
      </c>
      <c r="IH87" s="81"/>
      <c r="II87" s="75" t="s">
        <v>346</v>
      </c>
      <c r="IJ87" s="75" t="s">
        <v>346</v>
      </c>
      <c r="IK87" s="75" t="s">
        <v>346</v>
      </c>
      <c r="IL87" s="75" t="s">
        <v>346</v>
      </c>
      <c r="IM87" s="75" t="s">
        <v>346</v>
      </c>
      <c r="IN87" s="81"/>
      <c r="IT87" s="75" t="s">
        <v>346</v>
      </c>
      <c r="IY87" s="75" t="s">
        <v>346</v>
      </c>
      <c r="JC87" s="81" t="s">
        <v>346</v>
      </c>
      <c r="JE87" s="81" t="s">
        <v>346</v>
      </c>
      <c r="JF87" s="81" t="s">
        <v>322</v>
      </c>
      <c r="JG87" s="81" t="s">
        <v>322</v>
      </c>
      <c r="JH87" s="81" t="s">
        <v>322</v>
      </c>
      <c r="JI87" s="81" t="s">
        <v>322</v>
      </c>
      <c r="JJ87" s="81" t="s">
        <v>346</v>
      </c>
      <c r="JK87" s="81" t="s">
        <v>346</v>
      </c>
      <c r="JL87" s="81"/>
      <c r="JN87" s="75" t="s">
        <v>346</v>
      </c>
      <c r="JP87" s="81"/>
      <c r="JR87" s="75" t="s">
        <v>346</v>
      </c>
      <c r="JS87" s="75" t="s">
        <v>346</v>
      </c>
      <c r="JT87" s="75" t="s">
        <v>346</v>
      </c>
    </row>
    <row r="88" spans="1:280" x14ac:dyDescent="0.15">
      <c r="A88" s="6" t="s">
        <v>723</v>
      </c>
      <c r="B88" s="6" t="s">
        <v>720</v>
      </c>
      <c r="C88" s="6">
        <v>70000</v>
      </c>
      <c r="D88" s="6">
        <v>4</v>
      </c>
      <c r="E88" s="6">
        <v>6</v>
      </c>
      <c r="F88" s="6">
        <v>3</v>
      </c>
      <c r="G88" s="6" t="s">
        <v>36</v>
      </c>
      <c r="H88" s="6" t="s">
        <v>37</v>
      </c>
      <c r="I88" s="6" t="s">
        <v>46</v>
      </c>
      <c r="J88" s="21" t="s">
        <v>725</v>
      </c>
      <c r="K88" s="21">
        <v>1</v>
      </c>
      <c r="L88" s="21">
        <v>2</v>
      </c>
      <c r="M88" s="21">
        <v>1</v>
      </c>
      <c r="N88" s="21">
        <v>2</v>
      </c>
      <c r="O88" s="21">
        <v>1</v>
      </c>
      <c r="P88" s="21" t="str">
        <f>IF(TeamT[[#This Row],[General]]+TeamT[[#This Row],[Agility]]+TeamT[[#This Row],[Strength]]+TeamT[[#This Row],[Passing]]+TeamT[[#This Row],[Mutation]]&gt;0,IF(TeamT[[#This Row],[General]]=1,"G","")&amp;IF(TeamT[[#This Row],[Agility]]=1,"A","")&amp;IF(TeamT[[#This Row],[Strength]]=1,"S","")&amp;IF(TeamT[[#This Row],[Passing]]=1,"P","")&amp;IF(TeamT[[#This Row],[Mutation]]=1,"M",""),"Star")</f>
        <v>GSM</v>
      </c>
      <c r="Q88" s="23" t="str">
        <f>IF(TeamT[[#This Row],[General]]=2,"G","")&amp;IF(TeamT[[#This Row],[Agility]]=2,"A","")&amp;IF(TeamT[[#This Row],[Strength]]=2,"S","")&amp;IF(TeamT[[#This Row],[Passing]]=2,"P","")&amp;IF(TeamT[[#This Row],[Mutation]]=2,"M","")</f>
        <v>AP</v>
      </c>
      <c r="R88" s="212"/>
      <c r="S88" s="21">
        <v>3</v>
      </c>
      <c r="T88" s="21">
        <v>4</v>
      </c>
      <c r="U88" s="21">
        <v>9</v>
      </c>
      <c r="AA88" s="76" t="e">
        <f>HLOOKUP(Roster!$E$5,Team!$BL$2:$MK$128,87,FALSE)</f>
        <v>#N/A</v>
      </c>
      <c r="AB88" s="76" t="e">
        <f>HLOOKUP(Roster!$E$6,Team!$BL$2:$MK$128,87,FALSE)</f>
        <v>#N/A</v>
      </c>
      <c r="AC88" s="76" t="e">
        <f>HLOOKUP(Roster!$E$7,Team!$BL$2:$MK$128,87,FALSE)</f>
        <v>#N/A</v>
      </c>
      <c r="AD88" s="76" t="e">
        <f>HLOOKUP(Roster!$E$8,Team!$BL$2:$MK$128,87,FALSE)</f>
        <v>#N/A</v>
      </c>
      <c r="AE88" s="76" t="e">
        <f>HLOOKUP(Roster!$E$9,Team!$BL$2:$MK$128,87,FALSE)</f>
        <v>#N/A</v>
      </c>
      <c r="AF88" s="76" t="e">
        <f>HLOOKUP(Roster!$E$10,Team!$BL$2:$MK$128,87,FALSE)</f>
        <v>#N/A</v>
      </c>
      <c r="AG88" s="76" t="e">
        <f>HLOOKUP(Roster!$E$11,Team!$BL$2:$MK$128,87,FALSE)</f>
        <v>#N/A</v>
      </c>
      <c r="AH88" s="76" t="e">
        <f>HLOOKUP(Roster!$E$12,Team!$BL$2:$MK$128,87,FALSE)</f>
        <v>#N/A</v>
      </c>
      <c r="AI88" s="76" t="e">
        <f>HLOOKUP(Roster!$E$13,Team!$BL$2:$MK$128,87,FALSE)</f>
        <v>#N/A</v>
      </c>
      <c r="AJ88" s="76" t="e">
        <f>HLOOKUP(Roster!$E$14,Team!$BL$2:$MK$128,87,FALSE)</f>
        <v>#N/A</v>
      </c>
      <c r="AK88" s="76" t="e">
        <f>HLOOKUP(Roster!$E$15,Team!$BL$2:$MK$128,87,FALSE)</f>
        <v>#N/A</v>
      </c>
      <c r="AL88" s="76" t="e">
        <f>HLOOKUP(Roster!$E$16,Team!$BL$2:$MK$128,87,FALSE)</f>
        <v>#N/A</v>
      </c>
      <c r="AM88" s="76" t="e">
        <f>HLOOKUP(Roster!$E$17,Team!$BL$2:$MK$128,87,FALSE)</f>
        <v>#N/A</v>
      </c>
      <c r="AN88" s="76" t="e">
        <f>HLOOKUP(Roster!$E$18,Team!$BL$2:$MK$128,87,FALSE)</f>
        <v>#N/A</v>
      </c>
      <c r="AO88" s="76" t="e">
        <f>HLOOKUP(Roster!$E$19,Team!$BL$2:$MK$128,87,FALSE)</f>
        <v>#N/A</v>
      </c>
      <c r="AP88" s="76" t="e">
        <f>HLOOKUP(Roster!$E$20,Team!$BL$2:$MK$128,87,FALSE)</f>
        <v>#N/A</v>
      </c>
      <c r="AR88" s="108">
        <f t="shared" si="17"/>
        <v>0</v>
      </c>
      <c r="AS88" s="108">
        <f t="shared" si="18"/>
        <v>0</v>
      </c>
      <c r="AT88" s="108">
        <f t="shared" si="19"/>
        <v>0</v>
      </c>
      <c r="AU88" s="108">
        <f t="shared" si="20"/>
        <v>0</v>
      </c>
      <c r="AV88" s="108">
        <f t="shared" si="21"/>
        <v>0</v>
      </c>
      <c r="AW88" s="108">
        <f t="shared" si="22"/>
        <v>0</v>
      </c>
      <c r="AX88" s="108">
        <f t="shared" si="23"/>
        <v>0</v>
      </c>
      <c r="AY88" s="108">
        <f t="shared" si="24"/>
        <v>0</v>
      </c>
      <c r="AZ88" s="108">
        <f t="shared" si="25"/>
        <v>0</v>
      </c>
      <c r="BA88" s="108">
        <f t="shared" si="26"/>
        <v>0</v>
      </c>
      <c r="BB88" s="108">
        <f t="shared" si="27"/>
        <v>0</v>
      </c>
      <c r="BC88" s="108">
        <f t="shared" si="28"/>
        <v>0</v>
      </c>
      <c r="BD88" s="108">
        <f t="shared" si="29"/>
        <v>0</v>
      </c>
      <c r="BE88" s="108">
        <f t="shared" si="30"/>
        <v>0</v>
      </c>
      <c r="BF88" s="108">
        <f t="shared" si="31"/>
        <v>0</v>
      </c>
      <c r="BG88" s="108">
        <f t="shared" si="32"/>
        <v>0</v>
      </c>
      <c r="BM88" s="75" t="s">
        <v>347</v>
      </c>
      <c r="BQ88" s="75"/>
      <c r="BR88" s="75" t="s">
        <v>347</v>
      </c>
      <c r="BS88" s="75" t="s">
        <v>347</v>
      </c>
      <c r="BT88" s="75" t="s">
        <v>347</v>
      </c>
      <c r="BU88" s="75" t="s">
        <v>347</v>
      </c>
      <c r="BV88" s="75"/>
      <c r="BW88" s="81" t="s">
        <v>323</v>
      </c>
      <c r="BX88" s="81" t="s">
        <v>347</v>
      </c>
      <c r="BY88" s="81" t="s">
        <v>347</v>
      </c>
      <c r="BZ88" s="81" t="s">
        <v>347</v>
      </c>
      <c r="CA88" s="81" t="s">
        <v>347</v>
      </c>
      <c r="CB88" s="81" t="s">
        <v>323</v>
      </c>
      <c r="CC88" s="77"/>
      <c r="CD88" s="77"/>
      <c r="CE88" s="81" t="s">
        <v>347</v>
      </c>
      <c r="CF88" s="77"/>
      <c r="CG88" s="81" t="s">
        <v>347</v>
      </c>
      <c r="CH88" s="77"/>
      <c r="CI88" s="77"/>
      <c r="CJ88" s="81" t="s">
        <v>347</v>
      </c>
      <c r="CK88" s="81" t="s">
        <v>323</v>
      </c>
      <c r="CL88" s="81" t="s">
        <v>347</v>
      </c>
      <c r="CM88" s="81" t="s">
        <v>347</v>
      </c>
      <c r="CN88" s="81" t="s">
        <v>347</v>
      </c>
      <c r="CO88" s="81" t="s">
        <v>323</v>
      </c>
      <c r="CP88" s="81" t="s">
        <v>347</v>
      </c>
      <c r="CQ88" s="81" t="s">
        <v>347</v>
      </c>
      <c r="CR88" s="81" t="s">
        <v>347</v>
      </c>
      <c r="CS88" s="81" t="s">
        <v>347</v>
      </c>
      <c r="CT88" s="81" t="s">
        <v>347</v>
      </c>
      <c r="CU88" s="81"/>
      <c r="CV88" s="75" t="s">
        <v>347</v>
      </c>
      <c r="CW88" s="75" t="s">
        <v>347</v>
      </c>
      <c r="CX88" s="75" t="s">
        <v>347</v>
      </c>
      <c r="CY88" s="75" t="s">
        <v>347</v>
      </c>
      <c r="CZ88" s="75" t="s">
        <v>347</v>
      </c>
      <c r="DA88" s="81"/>
      <c r="DC88" s="75" t="s">
        <v>347</v>
      </c>
      <c r="DD88" s="75" t="s">
        <v>347</v>
      </c>
      <c r="DE88" s="75" t="s">
        <v>347</v>
      </c>
      <c r="DF88" s="75" t="s">
        <v>347</v>
      </c>
      <c r="DJ88" s="75" t="s">
        <v>347</v>
      </c>
      <c r="DK88" s="75" t="s">
        <v>347</v>
      </c>
      <c r="DQ88" s="75" t="s">
        <v>347</v>
      </c>
      <c r="DS88" s="75" t="s">
        <v>347</v>
      </c>
      <c r="DV88" s="75" t="s">
        <v>347</v>
      </c>
      <c r="DW88" s="75" t="s">
        <v>347</v>
      </c>
      <c r="DZ88" s="75" t="s">
        <v>347</v>
      </c>
      <c r="EA88" s="75" t="s">
        <v>347</v>
      </c>
      <c r="EC88" s="75" t="s">
        <v>347</v>
      </c>
      <c r="ED88" s="75" t="s">
        <v>347</v>
      </c>
      <c r="EE88" s="75"/>
      <c r="EG88" s="75" t="s">
        <v>347</v>
      </c>
      <c r="EI88" s="75" t="s">
        <v>347</v>
      </c>
      <c r="EL88" s="75" t="s">
        <v>347</v>
      </c>
      <c r="EM88" s="75" t="s">
        <v>347</v>
      </c>
      <c r="EO88" s="75" t="s">
        <v>347</v>
      </c>
      <c r="EP88" s="75" t="s">
        <v>347</v>
      </c>
      <c r="ES88" s="75" t="s">
        <v>347</v>
      </c>
      <c r="ET88" s="75" t="s">
        <v>347</v>
      </c>
      <c r="EU88" s="75" t="s">
        <v>347</v>
      </c>
      <c r="FA88" s="75" t="s">
        <v>347</v>
      </c>
      <c r="FB88" s="75" t="s">
        <v>347</v>
      </c>
      <c r="FG88" s="81" t="s">
        <v>347</v>
      </c>
      <c r="FH88" s="81" t="s">
        <v>323</v>
      </c>
      <c r="FI88" s="81" t="s">
        <v>347</v>
      </c>
      <c r="FJ88" s="81" t="s">
        <v>347</v>
      </c>
      <c r="FK88" s="81" t="s">
        <v>347</v>
      </c>
      <c r="FM88" s="75" t="s">
        <v>347</v>
      </c>
      <c r="FN88" s="75" t="s">
        <v>347</v>
      </c>
      <c r="FQ88" s="75" t="s">
        <v>347</v>
      </c>
      <c r="FR88" s="75"/>
      <c r="FT88" s="75" t="s">
        <v>347</v>
      </c>
      <c r="FV88" s="75" t="s">
        <v>347</v>
      </c>
      <c r="FZ88" s="75" t="s">
        <v>347</v>
      </c>
      <c r="GA88" s="75"/>
      <c r="GB88" s="75" t="s">
        <v>347</v>
      </c>
      <c r="GC88" s="75" t="s">
        <v>347</v>
      </c>
      <c r="GF88" s="75" t="s">
        <v>347</v>
      </c>
      <c r="GH88" s="81" t="s">
        <v>347</v>
      </c>
      <c r="GI88" s="81" t="s">
        <v>323</v>
      </c>
      <c r="GJ88" s="81" t="s">
        <v>347</v>
      </c>
      <c r="GK88" s="81" t="s">
        <v>347</v>
      </c>
      <c r="GL88" s="81" t="s">
        <v>347</v>
      </c>
      <c r="GM88" s="81"/>
      <c r="GO88" s="75" t="s">
        <v>347</v>
      </c>
      <c r="GP88" s="75" t="s">
        <v>347</v>
      </c>
      <c r="GT88" s="75" t="s">
        <v>347</v>
      </c>
      <c r="GX88" s="75" t="s">
        <v>347</v>
      </c>
      <c r="HC88" s="75" t="s">
        <v>347</v>
      </c>
      <c r="HG88" s="75" t="s">
        <v>347</v>
      </c>
      <c r="HH88" s="75" t="s">
        <v>347</v>
      </c>
      <c r="HK88" s="75" t="s">
        <v>347</v>
      </c>
      <c r="HP88" s="75" t="s">
        <v>347</v>
      </c>
      <c r="HQ88" s="75" t="s">
        <v>347</v>
      </c>
      <c r="HV88" s="75" t="s">
        <v>347</v>
      </c>
      <c r="IB88" s="81" t="s">
        <v>347</v>
      </c>
      <c r="IC88" s="81" t="s">
        <v>323</v>
      </c>
      <c r="ID88" s="81" t="s">
        <v>323</v>
      </c>
      <c r="IE88" s="81" t="s">
        <v>323</v>
      </c>
      <c r="IF88" s="81" t="s">
        <v>347</v>
      </c>
      <c r="IG88" s="81" t="s">
        <v>347</v>
      </c>
      <c r="IH88" s="81"/>
      <c r="II88" s="75" t="s">
        <v>347</v>
      </c>
      <c r="IJ88" s="75" t="s">
        <v>347</v>
      </c>
      <c r="IK88" s="75" t="s">
        <v>347</v>
      </c>
      <c r="IL88" s="75" t="s">
        <v>347</v>
      </c>
      <c r="IM88" s="75" t="s">
        <v>347</v>
      </c>
      <c r="IN88" s="81"/>
      <c r="IT88" s="75" t="s">
        <v>347</v>
      </c>
      <c r="IY88" s="75" t="s">
        <v>347</v>
      </c>
      <c r="JC88" s="81" t="s">
        <v>347</v>
      </c>
      <c r="JE88" s="81" t="s">
        <v>347</v>
      </c>
      <c r="JF88" s="81" t="s">
        <v>323</v>
      </c>
      <c r="JG88" s="81" t="s">
        <v>323</v>
      </c>
      <c r="JH88" s="81" t="s">
        <v>323</v>
      </c>
      <c r="JI88" s="81" t="s">
        <v>323</v>
      </c>
      <c r="JJ88" s="81" t="s">
        <v>347</v>
      </c>
      <c r="JK88" s="81" t="s">
        <v>347</v>
      </c>
      <c r="JL88" s="81"/>
      <c r="JN88" s="75" t="s">
        <v>347</v>
      </c>
      <c r="JP88" s="81"/>
      <c r="JR88" s="75" t="s">
        <v>347</v>
      </c>
      <c r="JS88" s="75" t="s">
        <v>347</v>
      </c>
      <c r="JT88" s="75" t="s">
        <v>347</v>
      </c>
    </row>
    <row r="89" spans="1:280" x14ac:dyDescent="0.15">
      <c r="A89" s="6" t="s">
        <v>724</v>
      </c>
      <c r="B89" s="6" t="s">
        <v>720</v>
      </c>
      <c r="C89" s="6">
        <v>110000</v>
      </c>
      <c r="D89" s="6">
        <v>4</v>
      </c>
      <c r="E89" s="6">
        <v>5</v>
      </c>
      <c r="F89" s="6">
        <v>4</v>
      </c>
      <c r="G89" s="6" t="s">
        <v>37</v>
      </c>
      <c r="H89" s="6" t="s">
        <v>96</v>
      </c>
      <c r="I89" s="6" t="s">
        <v>41</v>
      </c>
      <c r="J89" s="21" t="s">
        <v>606</v>
      </c>
      <c r="K89" s="21">
        <v>1</v>
      </c>
      <c r="L89" s="21">
        <v>2</v>
      </c>
      <c r="M89" s="21">
        <v>1</v>
      </c>
      <c r="N89" s="21">
        <v>0</v>
      </c>
      <c r="O89" s="21">
        <v>1</v>
      </c>
      <c r="P89" s="21" t="str">
        <f>IF(TeamT[[#This Row],[General]]+TeamT[[#This Row],[Agility]]+TeamT[[#This Row],[Strength]]+TeamT[[#This Row],[Passing]]+TeamT[[#This Row],[Mutation]]&gt;0,IF(TeamT[[#This Row],[General]]=1,"G","")&amp;IF(TeamT[[#This Row],[Agility]]=1,"A","")&amp;IF(TeamT[[#This Row],[Strength]]=1,"S","")&amp;IF(TeamT[[#This Row],[Passing]]=1,"P","")&amp;IF(TeamT[[#This Row],[Mutation]]=1,"M",""),"Star")</f>
        <v>GSM</v>
      </c>
      <c r="Q89" s="23" t="str">
        <f>IF(TeamT[[#This Row],[General]]=2,"G","")&amp;IF(TeamT[[#This Row],[Agility]]=2,"A","")&amp;IF(TeamT[[#This Row],[Strength]]=2,"S","")&amp;IF(TeamT[[#This Row],[Passing]]=2,"P","")&amp;IF(TeamT[[#This Row],[Mutation]]=2,"M","")</f>
        <v>A</v>
      </c>
      <c r="R89" s="212"/>
      <c r="S89" s="21">
        <v>4</v>
      </c>
      <c r="T89" s="21">
        <v>6</v>
      </c>
      <c r="U89" s="21">
        <v>10</v>
      </c>
      <c r="AA89" s="76" t="e">
        <f>HLOOKUP(Roster!$E$5,Team!$BL$2:$MK$128,88,FALSE)</f>
        <v>#N/A</v>
      </c>
      <c r="AB89" s="76" t="e">
        <f>HLOOKUP(Roster!$E$6,Team!$BL$2:$MK$128,88,FALSE)</f>
        <v>#N/A</v>
      </c>
      <c r="AC89" s="76" t="e">
        <f>HLOOKUP(Roster!$E$7,Team!$BL$2:$MK$128,88,FALSE)</f>
        <v>#N/A</v>
      </c>
      <c r="AD89" s="76" t="e">
        <f>HLOOKUP(Roster!$E$8,Team!$BL$2:$MK$128,88,FALSE)</f>
        <v>#N/A</v>
      </c>
      <c r="AE89" s="76" t="e">
        <f>HLOOKUP(Roster!$E$9,Team!$BL$2:$MK$128,88,FALSE)</f>
        <v>#N/A</v>
      </c>
      <c r="AF89" s="76" t="e">
        <f>HLOOKUP(Roster!$E$10,Team!$BL$2:$MK$128,88,FALSE)</f>
        <v>#N/A</v>
      </c>
      <c r="AG89" s="76" t="e">
        <f>HLOOKUP(Roster!$E$11,Team!$BL$2:$MK$128,88,FALSE)</f>
        <v>#N/A</v>
      </c>
      <c r="AH89" s="76" t="e">
        <f>HLOOKUP(Roster!$E$12,Team!$BL$2:$MK$128,88,FALSE)</f>
        <v>#N/A</v>
      </c>
      <c r="AI89" s="76" t="e">
        <f>HLOOKUP(Roster!$E$13,Team!$BL$2:$MK$128,88,FALSE)</f>
        <v>#N/A</v>
      </c>
      <c r="AJ89" s="76" t="e">
        <f>HLOOKUP(Roster!$E$14,Team!$BL$2:$MK$128,88,FALSE)</f>
        <v>#N/A</v>
      </c>
      <c r="AK89" s="76" t="e">
        <f>HLOOKUP(Roster!$E$15,Team!$BL$2:$MK$128,88,FALSE)</f>
        <v>#N/A</v>
      </c>
      <c r="AL89" s="76" t="e">
        <f>HLOOKUP(Roster!$E$16,Team!$BL$2:$MK$128,88,FALSE)</f>
        <v>#N/A</v>
      </c>
      <c r="AM89" s="76" t="e">
        <f>HLOOKUP(Roster!$E$17,Team!$BL$2:$MK$128,88,FALSE)</f>
        <v>#N/A</v>
      </c>
      <c r="AN89" s="76" t="e">
        <f>HLOOKUP(Roster!$E$18,Team!$BL$2:$MK$128,88,FALSE)</f>
        <v>#N/A</v>
      </c>
      <c r="AO89" s="76" t="e">
        <f>HLOOKUP(Roster!$E$19,Team!$BL$2:$MK$128,88,FALSE)</f>
        <v>#N/A</v>
      </c>
      <c r="AP89" s="76" t="e">
        <f>HLOOKUP(Roster!$E$20,Team!$BL$2:$MK$128,88,FALSE)</f>
        <v>#N/A</v>
      </c>
      <c r="AR89" s="108">
        <f t="shared" si="17"/>
        <v>0</v>
      </c>
      <c r="AS89" s="108">
        <f t="shared" si="18"/>
        <v>0</v>
      </c>
      <c r="AT89" s="108">
        <f t="shared" si="19"/>
        <v>0</v>
      </c>
      <c r="AU89" s="108">
        <f t="shared" si="20"/>
        <v>0</v>
      </c>
      <c r="AV89" s="108">
        <f t="shared" si="21"/>
        <v>0</v>
      </c>
      <c r="AW89" s="108">
        <f t="shared" si="22"/>
        <v>0</v>
      </c>
      <c r="AX89" s="108">
        <f t="shared" si="23"/>
        <v>0</v>
      </c>
      <c r="AY89" s="108">
        <f t="shared" si="24"/>
        <v>0</v>
      </c>
      <c r="AZ89" s="108">
        <f t="shared" si="25"/>
        <v>0</v>
      </c>
      <c r="BA89" s="108">
        <f t="shared" si="26"/>
        <v>0</v>
      </c>
      <c r="BB89" s="108">
        <f t="shared" si="27"/>
        <v>0</v>
      </c>
      <c r="BC89" s="108">
        <f t="shared" si="28"/>
        <v>0</v>
      </c>
      <c r="BD89" s="108">
        <f t="shared" si="29"/>
        <v>0</v>
      </c>
      <c r="BE89" s="108">
        <f t="shared" si="30"/>
        <v>0</v>
      </c>
      <c r="BF89" s="108">
        <f t="shared" si="31"/>
        <v>0</v>
      </c>
      <c r="BG89" s="108">
        <f t="shared" si="32"/>
        <v>0</v>
      </c>
      <c r="BM89" s="75" t="s">
        <v>348</v>
      </c>
      <c r="BQ89" s="75"/>
      <c r="BR89" s="75" t="s">
        <v>348</v>
      </c>
      <c r="BS89" s="75" t="s">
        <v>348</v>
      </c>
      <c r="BT89" s="75" t="s">
        <v>348</v>
      </c>
      <c r="BU89" s="75" t="s">
        <v>348</v>
      </c>
      <c r="BV89" s="75"/>
      <c r="BW89" s="80" t="s">
        <v>324</v>
      </c>
      <c r="BX89" s="81" t="s">
        <v>348</v>
      </c>
      <c r="BY89" s="81" t="s">
        <v>348</v>
      </c>
      <c r="BZ89" s="81" t="s">
        <v>348</v>
      </c>
      <c r="CA89" s="81" t="s">
        <v>348</v>
      </c>
      <c r="CB89" s="80" t="s">
        <v>324</v>
      </c>
      <c r="CC89" s="77"/>
      <c r="CD89" s="77"/>
      <c r="CE89" s="81" t="s">
        <v>348</v>
      </c>
      <c r="CF89" s="77"/>
      <c r="CG89" s="81" t="s">
        <v>348</v>
      </c>
      <c r="CH89" s="77"/>
      <c r="CI89" s="77"/>
      <c r="CJ89" s="81" t="s">
        <v>348</v>
      </c>
      <c r="CK89" s="80" t="s">
        <v>324</v>
      </c>
      <c r="CL89" s="81" t="s">
        <v>348</v>
      </c>
      <c r="CM89" s="81" t="s">
        <v>348</v>
      </c>
      <c r="CN89" s="81" t="s">
        <v>348</v>
      </c>
      <c r="CO89" s="80" t="s">
        <v>324</v>
      </c>
      <c r="CP89" s="81" t="s">
        <v>348</v>
      </c>
      <c r="CQ89" s="81" t="s">
        <v>348</v>
      </c>
      <c r="CR89" s="81" t="s">
        <v>348</v>
      </c>
      <c r="CS89" s="81" t="s">
        <v>348</v>
      </c>
      <c r="CT89" s="81" t="s">
        <v>348</v>
      </c>
      <c r="CU89" s="81"/>
      <c r="CV89" s="75" t="s">
        <v>348</v>
      </c>
      <c r="CW89" s="75" t="s">
        <v>348</v>
      </c>
      <c r="CX89" s="75" t="s">
        <v>348</v>
      </c>
      <c r="CY89" s="75" t="s">
        <v>348</v>
      </c>
      <c r="CZ89" s="75" t="s">
        <v>348</v>
      </c>
      <c r="DA89" s="81"/>
      <c r="DC89" s="75" t="s">
        <v>348</v>
      </c>
      <c r="DD89" s="75" t="s">
        <v>348</v>
      </c>
      <c r="DE89" s="75" t="s">
        <v>348</v>
      </c>
      <c r="DF89" s="75" t="s">
        <v>348</v>
      </c>
      <c r="DJ89" s="75" t="s">
        <v>348</v>
      </c>
      <c r="DK89" s="75" t="s">
        <v>348</v>
      </c>
      <c r="DQ89" s="75" t="s">
        <v>348</v>
      </c>
      <c r="DS89" s="75" t="s">
        <v>348</v>
      </c>
      <c r="DV89" s="75" t="s">
        <v>348</v>
      </c>
      <c r="DW89" s="75" t="s">
        <v>348</v>
      </c>
      <c r="DZ89" s="75" t="s">
        <v>348</v>
      </c>
      <c r="EA89" s="75" t="s">
        <v>348</v>
      </c>
      <c r="EC89" s="75" t="s">
        <v>348</v>
      </c>
      <c r="ED89" s="75" t="s">
        <v>348</v>
      </c>
      <c r="EE89" s="75"/>
      <c r="EG89" s="75" t="s">
        <v>348</v>
      </c>
      <c r="EI89" s="75" t="s">
        <v>348</v>
      </c>
      <c r="EL89" s="75" t="s">
        <v>348</v>
      </c>
      <c r="EM89" s="75" t="s">
        <v>348</v>
      </c>
      <c r="EO89" s="75" t="s">
        <v>348</v>
      </c>
      <c r="EP89" s="75" t="s">
        <v>348</v>
      </c>
      <c r="ES89" s="75" t="s">
        <v>348</v>
      </c>
      <c r="ET89" s="75" t="s">
        <v>348</v>
      </c>
      <c r="EU89" s="75" t="s">
        <v>348</v>
      </c>
      <c r="FA89" s="75" t="s">
        <v>348</v>
      </c>
      <c r="FB89" s="75" t="s">
        <v>348</v>
      </c>
      <c r="FG89" s="81" t="s">
        <v>348</v>
      </c>
      <c r="FH89" s="80" t="s">
        <v>324</v>
      </c>
      <c r="FI89" s="81" t="s">
        <v>348</v>
      </c>
      <c r="FJ89" s="81" t="s">
        <v>348</v>
      </c>
      <c r="FK89" s="81" t="s">
        <v>348</v>
      </c>
      <c r="FM89" s="75" t="s">
        <v>348</v>
      </c>
      <c r="FN89" s="75" t="s">
        <v>348</v>
      </c>
      <c r="FQ89" s="75" t="s">
        <v>348</v>
      </c>
      <c r="FR89" s="75"/>
      <c r="FT89" s="75" t="s">
        <v>348</v>
      </c>
      <c r="FV89" s="75" t="s">
        <v>348</v>
      </c>
      <c r="FZ89" s="75" t="s">
        <v>348</v>
      </c>
      <c r="GA89" s="75"/>
      <c r="GB89" s="75" t="s">
        <v>348</v>
      </c>
      <c r="GC89" s="75" t="s">
        <v>348</v>
      </c>
      <c r="GF89" s="75" t="s">
        <v>348</v>
      </c>
      <c r="GH89" s="81" t="s">
        <v>348</v>
      </c>
      <c r="GI89" s="80" t="s">
        <v>324</v>
      </c>
      <c r="GJ89" s="81" t="s">
        <v>348</v>
      </c>
      <c r="GK89" s="81" t="s">
        <v>348</v>
      </c>
      <c r="GL89" s="81" t="s">
        <v>348</v>
      </c>
      <c r="GM89" s="81"/>
      <c r="GO89" s="75" t="s">
        <v>348</v>
      </c>
      <c r="GP89" s="75" t="s">
        <v>348</v>
      </c>
      <c r="GT89" s="75" t="s">
        <v>348</v>
      </c>
      <c r="GX89" s="75" t="s">
        <v>348</v>
      </c>
      <c r="HC89" s="75" t="s">
        <v>348</v>
      </c>
      <c r="HG89" s="75" t="s">
        <v>348</v>
      </c>
      <c r="HH89" s="75" t="s">
        <v>348</v>
      </c>
      <c r="HK89" s="75" t="s">
        <v>348</v>
      </c>
      <c r="HP89" s="75" t="s">
        <v>348</v>
      </c>
      <c r="HQ89" s="75" t="s">
        <v>348</v>
      </c>
      <c r="HV89" s="75" t="s">
        <v>348</v>
      </c>
      <c r="IB89" s="81" t="s">
        <v>348</v>
      </c>
      <c r="IC89" s="80" t="s">
        <v>324</v>
      </c>
      <c r="ID89" s="80" t="s">
        <v>324</v>
      </c>
      <c r="IE89" s="80" t="s">
        <v>324</v>
      </c>
      <c r="IF89" s="81" t="s">
        <v>348</v>
      </c>
      <c r="IG89" s="81" t="s">
        <v>348</v>
      </c>
      <c r="IH89" s="81"/>
      <c r="II89" s="75" t="s">
        <v>348</v>
      </c>
      <c r="IJ89" s="75" t="s">
        <v>348</v>
      </c>
      <c r="IK89" s="75" t="s">
        <v>348</v>
      </c>
      <c r="IL89" s="75" t="s">
        <v>348</v>
      </c>
      <c r="IM89" s="75" t="s">
        <v>348</v>
      </c>
      <c r="IN89" s="81"/>
      <c r="IT89" s="75" t="s">
        <v>348</v>
      </c>
      <c r="IY89" s="75" t="s">
        <v>348</v>
      </c>
      <c r="JC89" s="81" t="s">
        <v>348</v>
      </c>
      <c r="JE89" s="81" t="s">
        <v>348</v>
      </c>
      <c r="JF89" s="80" t="s">
        <v>324</v>
      </c>
      <c r="JG89" s="80" t="s">
        <v>324</v>
      </c>
      <c r="JH89" s="80" t="s">
        <v>324</v>
      </c>
      <c r="JI89" s="80" t="s">
        <v>324</v>
      </c>
      <c r="JJ89" s="81" t="s">
        <v>348</v>
      </c>
      <c r="JK89" s="81" t="s">
        <v>348</v>
      </c>
      <c r="JL89" s="81"/>
      <c r="JN89" s="75" t="s">
        <v>348</v>
      </c>
      <c r="JP89" s="81"/>
      <c r="JR89" s="75" t="s">
        <v>348</v>
      </c>
      <c r="JS89" s="75" t="s">
        <v>348</v>
      </c>
      <c r="JT89" s="75" t="s">
        <v>348</v>
      </c>
    </row>
    <row r="90" spans="1:280" x14ac:dyDescent="0.15">
      <c r="A90" s="6" t="s">
        <v>727</v>
      </c>
      <c r="B90" s="6" t="s">
        <v>720</v>
      </c>
      <c r="C90" s="6">
        <v>160000</v>
      </c>
      <c r="D90" s="6">
        <v>1</v>
      </c>
      <c r="E90" s="6">
        <v>5</v>
      </c>
      <c r="F90" s="6">
        <v>5</v>
      </c>
      <c r="G90" s="6" t="s">
        <v>37</v>
      </c>
      <c r="H90" s="6" t="s">
        <v>53</v>
      </c>
      <c r="I90" s="6" t="s">
        <v>46</v>
      </c>
      <c r="J90" s="21" t="s">
        <v>728</v>
      </c>
      <c r="K90" s="21">
        <v>2</v>
      </c>
      <c r="L90" s="21">
        <v>2</v>
      </c>
      <c r="M90" s="21">
        <v>1</v>
      </c>
      <c r="N90" s="21">
        <v>0</v>
      </c>
      <c r="O90" s="21">
        <v>1</v>
      </c>
      <c r="P90" s="21" t="str">
        <f>IF(TeamT[[#This Row],[General]]+TeamT[[#This Row],[Agility]]+TeamT[[#This Row],[Strength]]+TeamT[[#This Row],[Passing]]+TeamT[[#This Row],[Mutation]]&gt;0,IF(TeamT[[#This Row],[General]]=1,"G","")&amp;IF(TeamT[[#This Row],[Agility]]=1,"A","")&amp;IF(TeamT[[#This Row],[Strength]]=1,"S","")&amp;IF(TeamT[[#This Row],[Passing]]=1,"P","")&amp;IF(TeamT[[#This Row],[Mutation]]=1,"M",""),"Star")</f>
        <v>SM</v>
      </c>
      <c r="Q90" s="23" t="str">
        <f>IF(TeamT[[#This Row],[General]]=2,"G","")&amp;IF(TeamT[[#This Row],[Agility]]=2,"A","")&amp;IF(TeamT[[#This Row],[Strength]]=2,"S","")&amp;IF(TeamT[[#This Row],[Passing]]=2,"P","")&amp;IF(TeamT[[#This Row],[Mutation]]=2,"M","")</f>
        <v>GA</v>
      </c>
      <c r="R90" s="212"/>
      <c r="S90" s="21">
        <v>4</v>
      </c>
      <c r="T90" s="21" t="s">
        <v>53</v>
      </c>
      <c r="U90" s="21">
        <v>9</v>
      </c>
      <c r="AA90" s="76" t="e">
        <f>HLOOKUP(Roster!$E$5,Team!$BL$2:$MK$128,89,FALSE)</f>
        <v>#N/A</v>
      </c>
      <c r="AB90" s="76" t="e">
        <f>HLOOKUP(Roster!$E$6,Team!$BL$2:$MK$128,89,FALSE)</f>
        <v>#N/A</v>
      </c>
      <c r="AC90" s="76" t="e">
        <f>HLOOKUP(Roster!$E$7,Team!$BL$2:$MK$128,89,FALSE)</f>
        <v>#N/A</v>
      </c>
      <c r="AD90" s="76" t="e">
        <f>HLOOKUP(Roster!$E$8,Team!$BL$2:$MK$128,89,FALSE)</f>
        <v>#N/A</v>
      </c>
      <c r="AE90" s="76" t="e">
        <f>HLOOKUP(Roster!$E$9,Team!$BL$2:$MK$128,89,FALSE)</f>
        <v>#N/A</v>
      </c>
      <c r="AF90" s="76" t="e">
        <f>HLOOKUP(Roster!$E$10,Team!$BL$2:$MK$128,89,FALSE)</f>
        <v>#N/A</v>
      </c>
      <c r="AG90" s="76" t="e">
        <f>HLOOKUP(Roster!$E$11,Team!$BL$2:$MK$128,89,FALSE)</f>
        <v>#N/A</v>
      </c>
      <c r="AH90" s="76" t="e">
        <f>HLOOKUP(Roster!$E$12,Team!$BL$2:$MK$128,89,FALSE)</f>
        <v>#N/A</v>
      </c>
      <c r="AI90" s="76" t="e">
        <f>HLOOKUP(Roster!$E$13,Team!$BL$2:$MK$128,89,FALSE)</f>
        <v>#N/A</v>
      </c>
      <c r="AJ90" s="76" t="e">
        <f>HLOOKUP(Roster!$E$14,Team!$BL$2:$MK$128,89,FALSE)</f>
        <v>#N/A</v>
      </c>
      <c r="AK90" s="76" t="e">
        <f>HLOOKUP(Roster!$E$15,Team!$BL$2:$MK$128,89,FALSE)</f>
        <v>#N/A</v>
      </c>
      <c r="AL90" s="76" t="e">
        <f>HLOOKUP(Roster!$E$16,Team!$BL$2:$MK$128,89,FALSE)</f>
        <v>#N/A</v>
      </c>
      <c r="AM90" s="76" t="e">
        <f>HLOOKUP(Roster!$E$17,Team!$BL$2:$MK$128,89,FALSE)</f>
        <v>#N/A</v>
      </c>
      <c r="AN90" s="76" t="e">
        <f>HLOOKUP(Roster!$E$18,Team!$BL$2:$MK$128,89,FALSE)</f>
        <v>#N/A</v>
      </c>
      <c r="AO90" s="76" t="e">
        <f>HLOOKUP(Roster!$E$19,Team!$BL$2:$MK$128,89,FALSE)</f>
        <v>#N/A</v>
      </c>
      <c r="AP90" s="76" t="e">
        <f>HLOOKUP(Roster!$E$20,Team!$BL$2:$MK$128,89,FALSE)</f>
        <v>#N/A</v>
      </c>
      <c r="AR90" s="108">
        <f t="shared" si="17"/>
        <v>0</v>
      </c>
      <c r="AS90" s="108">
        <f t="shared" si="18"/>
        <v>0</v>
      </c>
      <c r="AT90" s="108">
        <f t="shared" si="19"/>
        <v>0</v>
      </c>
      <c r="AU90" s="108">
        <f t="shared" si="20"/>
        <v>0</v>
      </c>
      <c r="AV90" s="108">
        <f t="shared" si="21"/>
        <v>0</v>
      </c>
      <c r="AW90" s="108">
        <f t="shared" si="22"/>
        <v>0</v>
      </c>
      <c r="AX90" s="108">
        <f t="shared" si="23"/>
        <v>0</v>
      </c>
      <c r="AY90" s="108">
        <f t="shared" si="24"/>
        <v>0</v>
      </c>
      <c r="AZ90" s="108">
        <f t="shared" si="25"/>
        <v>0</v>
      </c>
      <c r="BA90" s="108">
        <f t="shared" si="26"/>
        <v>0</v>
      </c>
      <c r="BB90" s="108">
        <f t="shared" si="27"/>
        <v>0</v>
      </c>
      <c r="BC90" s="108">
        <f t="shared" si="28"/>
        <v>0</v>
      </c>
      <c r="BD90" s="108">
        <f t="shared" si="29"/>
        <v>0</v>
      </c>
      <c r="BE90" s="108">
        <f t="shared" si="30"/>
        <v>0</v>
      </c>
      <c r="BF90" s="108">
        <f t="shared" si="31"/>
        <v>0</v>
      </c>
      <c r="BG90" s="108">
        <f t="shared" si="32"/>
        <v>0</v>
      </c>
      <c r="BM90" s="75" t="s">
        <v>349</v>
      </c>
      <c r="BQ90" s="75"/>
      <c r="BR90" s="75" t="s">
        <v>349</v>
      </c>
      <c r="BS90" s="75" t="s">
        <v>349</v>
      </c>
      <c r="BT90" s="75" t="s">
        <v>349</v>
      </c>
      <c r="BU90" s="75" t="s">
        <v>349</v>
      </c>
      <c r="BV90" s="75"/>
      <c r="BW90" s="81" t="s">
        <v>325</v>
      </c>
      <c r="BX90" s="81" t="s">
        <v>349</v>
      </c>
      <c r="BY90" s="81" t="s">
        <v>349</v>
      </c>
      <c r="BZ90" s="81" t="s">
        <v>349</v>
      </c>
      <c r="CA90" s="81" t="s">
        <v>349</v>
      </c>
      <c r="CB90" s="81" t="s">
        <v>325</v>
      </c>
      <c r="CC90" s="77"/>
      <c r="CD90" s="77"/>
      <c r="CE90" s="81" t="s">
        <v>349</v>
      </c>
      <c r="CF90" s="77"/>
      <c r="CG90" s="81" t="s">
        <v>349</v>
      </c>
      <c r="CH90" s="77"/>
      <c r="CI90" s="77"/>
      <c r="CJ90" s="81" t="s">
        <v>349</v>
      </c>
      <c r="CK90" s="81" t="s">
        <v>325</v>
      </c>
      <c r="CL90" s="81" t="s">
        <v>349</v>
      </c>
      <c r="CM90" s="81" t="s">
        <v>349</v>
      </c>
      <c r="CN90" s="81" t="s">
        <v>349</v>
      </c>
      <c r="CO90" s="81" t="s">
        <v>325</v>
      </c>
      <c r="CP90" s="81" t="s">
        <v>349</v>
      </c>
      <c r="CQ90" s="81" t="s">
        <v>349</v>
      </c>
      <c r="CR90" s="81" t="s">
        <v>349</v>
      </c>
      <c r="CS90" s="81" t="s">
        <v>349</v>
      </c>
      <c r="CT90" s="81" t="s">
        <v>349</v>
      </c>
      <c r="CU90" s="81"/>
      <c r="CV90" s="75" t="s">
        <v>349</v>
      </c>
      <c r="CW90" s="75" t="s">
        <v>349</v>
      </c>
      <c r="CX90" s="75" t="s">
        <v>349</v>
      </c>
      <c r="CY90" s="75" t="s">
        <v>349</v>
      </c>
      <c r="CZ90" s="75" t="s">
        <v>349</v>
      </c>
      <c r="DA90" s="81"/>
      <c r="DC90" s="75" t="s">
        <v>349</v>
      </c>
      <c r="DD90" s="75" t="s">
        <v>349</v>
      </c>
      <c r="DE90" s="75" t="s">
        <v>349</v>
      </c>
      <c r="DF90" s="75" t="s">
        <v>349</v>
      </c>
      <c r="DJ90" s="75" t="s">
        <v>349</v>
      </c>
      <c r="DK90" s="75" t="s">
        <v>349</v>
      </c>
      <c r="DQ90" s="75" t="s">
        <v>349</v>
      </c>
      <c r="DS90" s="75" t="s">
        <v>349</v>
      </c>
      <c r="DV90" s="75" t="s">
        <v>349</v>
      </c>
      <c r="DW90" s="75" t="s">
        <v>349</v>
      </c>
      <c r="DZ90" s="75" t="s">
        <v>349</v>
      </c>
      <c r="EA90" s="75" t="s">
        <v>349</v>
      </c>
      <c r="EC90" s="75" t="s">
        <v>349</v>
      </c>
      <c r="ED90" s="75" t="s">
        <v>349</v>
      </c>
      <c r="EE90" s="75"/>
      <c r="EG90" s="75" t="s">
        <v>349</v>
      </c>
      <c r="EI90" s="75" t="s">
        <v>349</v>
      </c>
      <c r="EL90" s="75" t="s">
        <v>349</v>
      </c>
      <c r="EM90" s="75" t="s">
        <v>349</v>
      </c>
      <c r="EO90" s="75" t="s">
        <v>349</v>
      </c>
      <c r="EP90" s="75" t="s">
        <v>349</v>
      </c>
      <c r="ES90" s="75" t="s">
        <v>349</v>
      </c>
      <c r="ET90" s="75" t="s">
        <v>349</v>
      </c>
      <c r="EU90" s="75" t="s">
        <v>349</v>
      </c>
      <c r="FA90" s="75" t="s">
        <v>349</v>
      </c>
      <c r="FB90" s="75" t="s">
        <v>349</v>
      </c>
      <c r="FG90" s="81" t="s">
        <v>349</v>
      </c>
      <c r="FH90" s="81" t="s">
        <v>325</v>
      </c>
      <c r="FI90" s="81" t="s">
        <v>349</v>
      </c>
      <c r="FJ90" s="81" t="s">
        <v>349</v>
      </c>
      <c r="FK90" s="81" t="s">
        <v>349</v>
      </c>
      <c r="FM90" s="75" t="s">
        <v>349</v>
      </c>
      <c r="FN90" s="75" t="s">
        <v>349</v>
      </c>
      <c r="FQ90" s="75" t="s">
        <v>349</v>
      </c>
      <c r="FR90" s="75"/>
      <c r="FT90" s="75" t="s">
        <v>349</v>
      </c>
      <c r="FV90" s="75" t="s">
        <v>349</v>
      </c>
      <c r="FZ90" s="75" t="s">
        <v>349</v>
      </c>
      <c r="GA90" s="75"/>
      <c r="GB90" s="75" t="s">
        <v>349</v>
      </c>
      <c r="GC90" s="75" t="s">
        <v>349</v>
      </c>
      <c r="GF90" s="75" t="s">
        <v>349</v>
      </c>
      <c r="GH90" s="81" t="s">
        <v>349</v>
      </c>
      <c r="GI90" s="81" t="s">
        <v>325</v>
      </c>
      <c r="GJ90" s="81" t="s">
        <v>349</v>
      </c>
      <c r="GK90" s="81" t="s">
        <v>349</v>
      </c>
      <c r="GL90" s="81" t="s">
        <v>349</v>
      </c>
      <c r="GM90" s="81"/>
      <c r="GO90" s="75" t="s">
        <v>349</v>
      </c>
      <c r="GP90" s="75" t="s">
        <v>349</v>
      </c>
      <c r="GT90" s="75" t="s">
        <v>349</v>
      </c>
      <c r="GX90" s="75" t="s">
        <v>349</v>
      </c>
      <c r="HC90" s="75" t="s">
        <v>349</v>
      </c>
      <c r="HG90" s="75" t="s">
        <v>349</v>
      </c>
      <c r="HH90" s="75" t="s">
        <v>349</v>
      </c>
      <c r="HK90" s="75" t="s">
        <v>349</v>
      </c>
      <c r="HP90" s="75" t="s">
        <v>349</v>
      </c>
      <c r="HQ90" s="75" t="s">
        <v>349</v>
      </c>
      <c r="HV90" s="75" t="s">
        <v>349</v>
      </c>
      <c r="IB90" s="81" t="s">
        <v>349</v>
      </c>
      <c r="IC90" s="81" t="s">
        <v>325</v>
      </c>
      <c r="ID90" s="81" t="s">
        <v>325</v>
      </c>
      <c r="IE90" s="81" t="s">
        <v>325</v>
      </c>
      <c r="IF90" s="81" t="s">
        <v>349</v>
      </c>
      <c r="IG90" s="81" t="s">
        <v>349</v>
      </c>
      <c r="IH90" s="81"/>
      <c r="II90" s="75" t="s">
        <v>349</v>
      </c>
      <c r="IJ90" s="75" t="s">
        <v>349</v>
      </c>
      <c r="IK90" s="75" t="s">
        <v>349</v>
      </c>
      <c r="IL90" s="75" t="s">
        <v>349</v>
      </c>
      <c r="IM90" s="75" t="s">
        <v>349</v>
      </c>
      <c r="IN90" s="81"/>
      <c r="IT90" s="75" t="s">
        <v>349</v>
      </c>
      <c r="IY90" s="75" t="s">
        <v>349</v>
      </c>
      <c r="JC90" s="81" t="s">
        <v>349</v>
      </c>
      <c r="JE90" s="81" t="s">
        <v>349</v>
      </c>
      <c r="JF90" s="81" t="s">
        <v>325</v>
      </c>
      <c r="JG90" s="81" t="s">
        <v>325</v>
      </c>
      <c r="JH90" s="81" t="s">
        <v>325</v>
      </c>
      <c r="JI90" s="81" t="s">
        <v>325</v>
      </c>
      <c r="JJ90" s="81" t="s">
        <v>349</v>
      </c>
      <c r="JK90" s="81" t="s">
        <v>349</v>
      </c>
      <c r="JL90" s="81"/>
      <c r="JN90" s="75" t="s">
        <v>349</v>
      </c>
      <c r="JP90" s="81"/>
      <c r="JR90" s="75" t="s">
        <v>349</v>
      </c>
      <c r="JS90" s="75" t="s">
        <v>349</v>
      </c>
      <c r="JT90" s="75" t="s">
        <v>349</v>
      </c>
    </row>
    <row r="91" spans="1:280" x14ac:dyDescent="0.15">
      <c r="A91" s="6" t="s">
        <v>722</v>
      </c>
      <c r="B91" s="6" t="s">
        <v>720</v>
      </c>
      <c r="C91" s="6">
        <v>50000</v>
      </c>
      <c r="D91" s="6">
        <v>11</v>
      </c>
      <c r="E91" s="6">
        <v>6</v>
      </c>
      <c r="F91" s="6">
        <v>3</v>
      </c>
      <c r="G91" s="6" t="s">
        <v>36</v>
      </c>
      <c r="H91" s="6" t="s">
        <v>37</v>
      </c>
      <c r="I91" s="6" t="s">
        <v>38</v>
      </c>
      <c r="J91" s="21" t="s">
        <v>606</v>
      </c>
      <c r="K91" s="21">
        <v>1</v>
      </c>
      <c r="L91" s="21">
        <v>2</v>
      </c>
      <c r="M91" s="21">
        <v>2</v>
      </c>
      <c r="N91" s="21">
        <v>0</v>
      </c>
      <c r="O91" s="21">
        <v>1</v>
      </c>
      <c r="P91" s="21" t="str">
        <f>IF(TeamT[[#This Row],[General]]+TeamT[[#This Row],[Agility]]+TeamT[[#This Row],[Strength]]+TeamT[[#This Row],[Passing]]+TeamT[[#This Row],[Mutation]]&gt;0,IF(TeamT[[#This Row],[General]]=1,"G","")&amp;IF(TeamT[[#This Row],[Agility]]=1,"A","")&amp;IF(TeamT[[#This Row],[Strength]]=1,"S","")&amp;IF(TeamT[[#This Row],[Passing]]=1,"P","")&amp;IF(TeamT[[#This Row],[Mutation]]=1,"M",""),"Star")</f>
        <v>GM</v>
      </c>
      <c r="Q91" s="23" t="str">
        <f>IF(TeamT[[#This Row],[General]]=2,"G","")&amp;IF(TeamT[[#This Row],[Agility]]=2,"A","")&amp;IF(TeamT[[#This Row],[Strength]]=2,"S","")&amp;IF(TeamT[[#This Row],[Passing]]=2,"P","")&amp;IF(TeamT[[#This Row],[Mutation]]=2,"M","")</f>
        <v>AS</v>
      </c>
      <c r="R91" s="212"/>
      <c r="S91" s="21">
        <v>3</v>
      </c>
      <c r="T91" s="21">
        <v>4</v>
      </c>
      <c r="U91" s="21">
        <v>8</v>
      </c>
      <c r="AA91" s="76" t="e">
        <f>HLOOKUP(Roster!$E$5,Team!$BL$2:$MK$128,90,FALSE)</f>
        <v>#N/A</v>
      </c>
      <c r="AB91" s="76" t="e">
        <f>HLOOKUP(Roster!$E$6,Team!$BL$2:$MK$128,90,FALSE)</f>
        <v>#N/A</v>
      </c>
      <c r="AC91" s="76" t="e">
        <f>HLOOKUP(Roster!$E$7,Team!$BL$2:$MK$128,90,FALSE)</f>
        <v>#N/A</v>
      </c>
      <c r="AD91" s="76" t="e">
        <f>HLOOKUP(Roster!$E$8,Team!$BL$2:$MK$128,90,FALSE)</f>
        <v>#N/A</v>
      </c>
      <c r="AE91" s="76" t="e">
        <f>HLOOKUP(Roster!$E$9,Team!$BL$2:$MK$128,90,FALSE)</f>
        <v>#N/A</v>
      </c>
      <c r="AF91" s="76" t="e">
        <f>HLOOKUP(Roster!$E$10,Team!$BL$2:$MK$128,90,FALSE)</f>
        <v>#N/A</v>
      </c>
      <c r="AG91" s="76" t="e">
        <f>HLOOKUP(Roster!$E$11,Team!$BL$2:$MK$128,90,FALSE)</f>
        <v>#N/A</v>
      </c>
      <c r="AH91" s="76" t="e">
        <f>HLOOKUP(Roster!$E$12,Team!$BL$2:$MK$128,90,FALSE)</f>
        <v>#N/A</v>
      </c>
      <c r="AI91" s="76" t="e">
        <f>HLOOKUP(Roster!$E$13,Team!$BL$2:$MK$128,90,FALSE)</f>
        <v>#N/A</v>
      </c>
      <c r="AJ91" s="76" t="e">
        <f>HLOOKUP(Roster!$E$14,Team!$BL$2:$MK$128,90,FALSE)</f>
        <v>#N/A</v>
      </c>
      <c r="AK91" s="76" t="e">
        <f>HLOOKUP(Roster!$E$15,Team!$BL$2:$MK$128,90,FALSE)</f>
        <v>#N/A</v>
      </c>
      <c r="AL91" s="76" t="e">
        <f>HLOOKUP(Roster!$E$16,Team!$BL$2:$MK$128,90,FALSE)</f>
        <v>#N/A</v>
      </c>
      <c r="AM91" s="76" t="e">
        <f>HLOOKUP(Roster!$E$17,Team!$BL$2:$MK$128,90,FALSE)</f>
        <v>#N/A</v>
      </c>
      <c r="AN91" s="76" t="e">
        <f>HLOOKUP(Roster!$E$18,Team!$BL$2:$MK$128,90,FALSE)</f>
        <v>#N/A</v>
      </c>
      <c r="AO91" s="76" t="e">
        <f>HLOOKUP(Roster!$E$19,Team!$BL$2:$MK$128,90,FALSE)</f>
        <v>#N/A</v>
      </c>
      <c r="AP91" s="76" t="e">
        <f>HLOOKUP(Roster!$E$20,Team!$BL$2:$MK$128,90,FALSE)</f>
        <v>#N/A</v>
      </c>
      <c r="AR91" s="108">
        <f t="shared" si="17"/>
        <v>0</v>
      </c>
      <c r="AS91" s="108">
        <f t="shared" si="18"/>
        <v>0</v>
      </c>
      <c r="AT91" s="108">
        <f t="shared" si="19"/>
        <v>0</v>
      </c>
      <c r="AU91" s="108">
        <f t="shared" si="20"/>
        <v>0</v>
      </c>
      <c r="AV91" s="108">
        <f t="shared" si="21"/>
        <v>0</v>
      </c>
      <c r="AW91" s="108">
        <f t="shared" si="22"/>
        <v>0</v>
      </c>
      <c r="AX91" s="108">
        <f t="shared" si="23"/>
        <v>0</v>
      </c>
      <c r="AY91" s="108">
        <f t="shared" si="24"/>
        <v>0</v>
      </c>
      <c r="AZ91" s="108">
        <f t="shared" si="25"/>
        <v>0</v>
      </c>
      <c r="BA91" s="108">
        <f t="shared" si="26"/>
        <v>0</v>
      </c>
      <c r="BB91" s="108">
        <f t="shared" si="27"/>
        <v>0</v>
      </c>
      <c r="BC91" s="108">
        <f t="shared" si="28"/>
        <v>0</v>
      </c>
      <c r="BD91" s="108">
        <f t="shared" si="29"/>
        <v>0</v>
      </c>
      <c r="BE91" s="108">
        <f t="shared" si="30"/>
        <v>0</v>
      </c>
      <c r="BF91" s="108">
        <f t="shared" si="31"/>
        <v>0</v>
      </c>
      <c r="BG91" s="108">
        <f t="shared" si="32"/>
        <v>0</v>
      </c>
      <c r="BM91" s="75" t="s">
        <v>350</v>
      </c>
      <c r="BQ91" s="75"/>
      <c r="BR91" s="75" t="s">
        <v>350</v>
      </c>
      <c r="BS91" s="75" t="s">
        <v>350</v>
      </c>
      <c r="BT91" s="75" t="s">
        <v>350</v>
      </c>
      <c r="BU91" s="75" t="s">
        <v>350</v>
      </c>
      <c r="BV91" s="75"/>
      <c r="BW91" s="80" t="s">
        <v>326</v>
      </c>
      <c r="BX91" s="81" t="s">
        <v>350</v>
      </c>
      <c r="BY91" s="81" t="s">
        <v>350</v>
      </c>
      <c r="BZ91" s="81" t="s">
        <v>350</v>
      </c>
      <c r="CA91" s="81" t="s">
        <v>350</v>
      </c>
      <c r="CB91" s="80" t="s">
        <v>326</v>
      </c>
      <c r="CC91" s="77"/>
      <c r="CD91" s="77"/>
      <c r="CE91" s="81" t="s">
        <v>350</v>
      </c>
      <c r="CF91" s="77"/>
      <c r="CG91" s="81" t="s">
        <v>350</v>
      </c>
      <c r="CH91" s="77"/>
      <c r="CI91" s="77"/>
      <c r="CJ91" s="81" t="s">
        <v>350</v>
      </c>
      <c r="CK91" s="80" t="s">
        <v>326</v>
      </c>
      <c r="CL91" s="81" t="s">
        <v>350</v>
      </c>
      <c r="CM91" s="81" t="s">
        <v>350</v>
      </c>
      <c r="CN91" s="81" t="s">
        <v>350</v>
      </c>
      <c r="CO91" s="80" t="s">
        <v>326</v>
      </c>
      <c r="CP91" s="81" t="s">
        <v>350</v>
      </c>
      <c r="CQ91" s="81" t="s">
        <v>350</v>
      </c>
      <c r="CR91" s="81" t="s">
        <v>350</v>
      </c>
      <c r="CS91" s="81" t="s">
        <v>350</v>
      </c>
      <c r="CT91" s="81" t="s">
        <v>350</v>
      </c>
      <c r="CU91" s="81"/>
      <c r="CV91" s="75" t="s">
        <v>350</v>
      </c>
      <c r="CW91" s="75" t="s">
        <v>350</v>
      </c>
      <c r="CX91" s="75" t="s">
        <v>350</v>
      </c>
      <c r="CY91" s="75" t="s">
        <v>350</v>
      </c>
      <c r="CZ91" s="75" t="s">
        <v>350</v>
      </c>
      <c r="DA91" s="81"/>
      <c r="DC91" s="75" t="s">
        <v>350</v>
      </c>
      <c r="DD91" s="75" t="s">
        <v>350</v>
      </c>
      <c r="DE91" s="75" t="s">
        <v>350</v>
      </c>
      <c r="DF91" s="75" t="s">
        <v>350</v>
      </c>
      <c r="DJ91" s="75" t="s">
        <v>350</v>
      </c>
      <c r="DK91" s="75" t="s">
        <v>350</v>
      </c>
      <c r="DQ91" s="75" t="s">
        <v>350</v>
      </c>
      <c r="DS91" s="75" t="s">
        <v>350</v>
      </c>
      <c r="DV91" s="75" t="s">
        <v>350</v>
      </c>
      <c r="DW91" s="75" t="s">
        <v>350</v>
      </c>
      <c r="DZ91" s="75" t="s">
        <v>350</v>
      </c>
      <c r="EA91" s="75" t="s">
        <v>350</v>
      </c>
      <c r="EC91" s="75" t="s">
        <v>350</v>
      </c>
      <c r="ED91" s="75" t="s">
        <v>350</v>
      </c>
      <c r="EE91" s="75"/>
      <c r="EG91" s="75" t="s">
        <v>350</v>
      </c>
      <c r="EI91" s="75" t="s">
        <v>350</v>
      </c>
      <c r="EL91" s="75" t="s">
        <v>350</v>
      </c>
      <c r="EM91" s="75" t="s">
        <v>350</v>
      </c>
      <c r="EO91" s="75" t="s">
        <v>350</v>
      </c>
      <c r="EP91" s="75" t="s">
        <v>350</v>
      </c>
      <c r="ES91" s="75" t="s">
        <v>350</v>
      </c>
      <c r="ET91" s="75" t="s">
        <v>350</v>
      </c>
      <c r="EU91" s="75" t="s">
        <v>350</v>
      </c>
      <c r="FA91" s="75" t="s">
        <v>350</v>
      </c>
      <c r="FB91" s="75" t="s">
        <v>350</v>
      </c>
      <c r="FG91" s="81" t="s">
        <v>350</v>
      </c>
      <c r="FH91" s="80" t="s">
        <v>326</v>
      </c>
      <c r="FI91" s="81" t="s">
        <v>350</v>
      </c>
      <c r="FJ91" s="81" t="s">
        <v>350</v>
      </c>
      <c r="FK91" s="81" t="s">
        <v>350</v>
      </c>
      <c r="FM91" s="75" t="s">
        <v>350</v>
      </c>
      <c r="FN91" s="75" t="s">
        <v>350</v>
      </c>
      <c r="FQ91" s="75" t="s">
        <v>350</v>
      </c>
      <c r="FR91" s="75"/>
      <c r="FT91" s="75" t="s">
        <v>350</v>
      </c>
      <c r="FV91" s="75" t="s">
        <v>350</v>
      </c>
      <c r="FZ91" s="75" t="s">
        <v>350</v>
      </c>
      <c r="GA91" s="75"/>
      <c r="GB91" s="75" t="s">
        <v>350</v>
      </c>
      <c r="GC91" s="75" t="s">
        <v>350</v>
      </c>
      <c r="GF91" s="75" t="s">
        <v>350</v>
      </c>
      <c r="GH91" s="81" t="s">
        <v>350</v>
      </c>
      <c r="GI91" s="80" t="s">
        <v>326</v>
      </c>
      <c r="GJ91" s="81" t="s">
        <v>350</v>
      </c>
      <c r="GK91" s="81" t="s">
        <v>350</v>
      </c>
      <c r="GL91" s="81" t="s">
        <v>350</v>
      </c>
      <c r="GM91" s="81"/>
      <c r="GO91" s="75" t="s">
        <v>350</v>
      </c>
      <c r="GP91" s="75" t="s">
        <v>350</v>
      </c>
      <c r="GT91" s="75" t="s">
        <v>350</v>
      </c>
      <c r="GX91" s="75" t="s">
        <v>350</v>
      </c>
      <c r="HC91" s="75" t="s">
        <v>350</v>
      </c>
      <c r="HG91" s="75" t="s">
        <v>350</v>
      </c>
      <c r="HH91" s="75" t="s">
        <v>350</v>
      </c>
      <c r="HK91" s="75" t="s">
        <v>350</v>
      </c>
      <c r="HP91" s="75" t="s">
        <v>350</v>
      </c>
      <c r="HQ91" s="75" t="s">
        <v>350</v>
      </c>
      <c r="HV91" s="75" t="s">
        <v>350</v>
      </c>
      <c r="IB91" s="81" t="s">
        <v>350</v>
      </c>
      <c r="IC91" s="80" t="s">
        <v>326</v>
      </c>
      <c r="ID91" s="80" t="s">
        <v>326</v>
      </c>
      <c r="IE91" s="80" t="s">
        <v>326</v>
      </c>
      <c r="IF91" s="81" t="s">
        <v>350</v>
      </c>
      <c r="IG91" s="81" t="s">
        <v>350</v>
      </c>
      <c r="IH91" s="81"/>
      <c r="II91" s="75" t="s">
        <v>350</v>
      </c>
      <c r="IJ91" s="75" t="s">
        <v>350</v>
      </c>
      <c r="IK91" s="75" t="s">
        <v>350</v>
      </c>
      <c r="IL91" s="75" t="s">
        <v>350</v>
      </c>
      <c r="IM91" s="75" t="s">
        <v>350</v>
      </c>
      <c r="IN91" s="81"/>
      <c r="IT91" s="75" t="s">
        <v>350</v>
      </c>
      <c r="IY91" s="75" t="s">
        <v>350</v>
      </c>
      <c r="JC91" s="81" t="s">
        <v>350</v>
      </c>
      <c r="JE91" s="81" t="s">
        <v>350</v>
      </c>
      <c r="JF91" s="80" t="s">
        <v>326</v>
      </c>
      <c r="JG91" s="80" t="s">
        <v>326</v>
      </c>
      <c r="JH91" s="80" t="s">
        <v>326</v>
      </c>
      <c r="JI91" s="80" t="s">
        <v>326</v>
      </c>
      <c r="JJ91" s="81" t="s">
        <v>350</v>
      </c>
      <c r="JK91" s="81" t="s">
        <v>350</v>
      </c>
      <c r="JL91" s="81"/>
      <c r="JN91" s="75" t="s">
        <v>350</v>
      </c>
      <c r="JP91" s="81"/>
      <c r="JR91" s="75" t="s">
        <v>350</v>
      </c>
      <c r="JS91" s="75" t="s">
        <v>350</v>
      </c>
      <c r="JT91" s="75" t="s">
        <v>350</v>
      </c>
    </row>
    <row r="92" spans="1:280" x14ac:dyDescent="0.15">
      <c r="A92" s="214" t="s">
        <v>557</v>
      </c>
      <c r="B92" s="6" t="s">
        <v>121</v>
      </c>
      <c r="C92" s="6">
        <v>60000</v>
      </c>
      <c r="D92" s="6">
        <v>12</v>
      </c>
      <c r="E92" s="6">
        <v>8</v>
      </c>
      <c r="F92" s="6">
        <v>2</v>
      </c>
      <c r="G92" s="6" t="s">
        <v>36</v>
      </c>
      <c r="H92" s="6" t="s">
        <v>37</v>
      </c>
      <c r="I92" s="6" t="s">
        <v>38</v>
      </c>
      <c r="J92" s="21" t="s">
        <v>125</v>
      </c>
      <c r="K92" s="21">
        <v>2</v>
      </c>
      <c r="L92" s="21">
        <v>1</v>
      </c>
      <c r="M92" s="21">
        <v>2</v>
      </c>
      <c r="N92" s="21">
        <v>2</v>
      </c>
      <c r="O92" s="21">
        <v>0</v>
      </c>
      <c r="P92" s="21" t="str">
        <f>IF(TeamT[[#This Row],[General]]+TeamT[[#This Row],[Agility]]+TeamT[[#This Row],[Strength]]+TeamT[[#This Row],[Passing]]+TeamT[[#This Row],[Mutation]]&gt;0,IF(TeamT[[#This Row],[General]]=1,"G","")&amp;IF(TeamT[[#This Row],[Agility]]=1,"A","")&amp;IF(TeamT[[#This Row],[Strength]]=1,"S","")&amp;IF(TeamT[[#This Row],[Passing]]=1,"P","")&amp;IF(TeamT[[#This Row],[Mutation]]=1,"M",""),"Star")</f>
        <v>A</v>
      </c>
      <c r="Q92" s="21" t="str">
        <f>IF(TeamT[[#This Row],[General]]=2,"G","")&amp;IF(TeamT[[#This Row],[Agility]]=2,"A","")&amp;IF(TeamT[[#This Row],[Strength]]=2,"S","")&amp;IF(TeamT[[#This Row],[Passing]]=2,"P","")&amp;IF(TeamT[[#This Row],[Mutation]]=2,"M","")</f>
        <v>GSP</v>
      </c>
      <c r="R92" s="212"/>
      <c r="S92" s="21">
        <v>3</v>
      </c>
      <c r="T92" s="21">
        <v>4</v>
      </c>
      <c r="U92" s="21">
        <v>8</v>
      </c>
      <c r="AA92" s="76" t="e">
        <f>HLOOKUP(Roster!$E$5,Team!$BL$2:$MK$128,91,FALSE)</f>
        <v>#N/A</v>
      </c>
      <c r="AB92" s="76" t="e">
        <f>HLOOKUP(Roster!$E$6,Team!$BL$2:$MK$128,91,FALSE)</f>
        <v>#N/A</v>
      </c>
      <c r="AC92" s="76" t="e">
        <f>HLOOKUP(Roster!$E$7,Team!$BL$2:$MK$128,91,FALSE)</f>
        <v>#N/A</v>
      </c>
      <c r="AD92" s="76" t="e">
        <f>HLOOKUP(Roster!$E$8,Team!$BL$2:$MK$128,91,FALSE)</f>
        <v>#N/A</v>
      </c>
      <c r="AE92" s="76" t="e">
        <f>HLOOKUP(Roster!$E$9,Team!$BL$2:$MK$128,91,FALSE)</f>
        <v>#N/A</v>
      </c>
      <c r="AF92" s="76" t="e">
        <f>HLOOKUP(Roster!$E$10,Team!$BL$2:$MK$128,91,FALSE)</f>
        <v>#N/A</v>
      </c>
      <c r="AG92" s="76" t="e">
        <f>HLOOKUP(Roster!$E$11,Team!$BL$2:$MK$128,91,FALSE)</f>
        <v>#N/A</v>
      </c>
      <c r="AH92" s="76" t="e">
        <f>HLOOKUP(Roster!$E$12,Team!$BL$2:$MK$128,91,FALSE)</f>
        <v>#N/A</v>
      </c>
      <c r="AI92" s="76" t="e">
        <f>HLOOKUP(Roster!$E$13,Team!$BL$2:$MK$128,91,FALSE)</f>
        <v>#N/A</v>
      </c>
      <c r="AJ92" s="76" t="e">
        <f>HLOOKUP(Roster!$E$14,Team!$BL$2:$MK$128,91,FALSE)</f>
        <v>#N/A</v>
      </c>
      <c r="AK92" s="76" t="e">
        <f>HLOOKUP(Roster!$E$15,Team!$BL$2:$MK$128,91,FALSE)</f>
        <v>#N/A</v>
      </c>
      <c r="AL92" s="76" t="e">
        <f>HLOOKUP(Roster!$E$16,Team!$BL$2:$MK$128,91,FALSE)</f>
        <v>#N/A</v>
      </c>
      <c r="AM92" s="76" t="e">
        <f>HLOOKUP(Roster!$E$17,Team!$BL$2:$MK$128,91,FALSE)</f>
        <v>#N/A</v>
      </c>
      <c r="AN92" s="76" t="e">
        <f>HLOOKUP(Roster!$E$18,Team!$BL$2:$MK$128,91,FALSE)</f>
        <v>#N/A</v>
      </c>
      <c r="AO92" s="76" t="e">
        <f>HLOOKUP(Roster!$E$19,Team!$BL$2:$MK$128,91,FALSE)</f>
        <v>#N/A</v>
      </c>
      <c r="AP92" s="76" t="e">
        <f>HLOOKUP(Roster!$E$20,Team!$BL$2:$MK$128,91,FALSE)</f>
        <v>#N/A</v>
      </c>
      <c r="AR92" s="108">
        <f t="shared" si="17"/>
        <v>0</v>
      </c>
      <c r="AS92" s="108">
        <f t="shared" si="18"/>
        <v>0</v>
      </c>
      <c r="AT92" s="108">
        <f t="shared" si="19"/>
        <v>0</v>
      </c>
      <c r="AU92" s="108">
        <f t="shared" si="20"/>
        <v>0</v>
      </c>
      <c r="AV92" s="108">
        <f t="shared" si="21"/>
        <v>0</v>
      </c>
      <c r="AW92" s="108">
        <f t="shared" si="22"/>
        <v>0</v>
      </c>
      <c r="AX92" s="108">
        <f t="shared" si="23"/>
        <v>0</v>
      </c>
      <c r="AY92" s="108">
        <f t="shared" si="24"/>
        <v>0</v>
      </c>
      <c r="AZ92" s="108">
        <f t="shared" si="25"/>
        <v>0</v>
      </c>
      <c r="BA92" s="108">
        <f t="shared" si="26"/>
        <v>0</v>
      </c>
      <c r="BB92" s="108">
        <f t="shared" si="27"/>
        <v>0</v>
      </c>
      <c r="BC92" s="108">
        <f t="shared" si="28"/>
        <v>0</v>
      </c>
      <c r="BD92" s="108">
        <f t="shared" si="29"/>
        <v>0</v>
      </c>
      <c r="BE92" s="108">
        <f t="shared" si="30"/>
        <v>0</v>
      </c>
      <c r="BF92" s="108">
        <f t="shared" si="31"/>
        <v>0</v>
      </c>
      <c r="BG92" s="108">
        <f t="shared" si="32"/>
        <v>0</v>
      </c>
      <c r="BM92" s="75" t="s">
        <v>351</v>
      </c>
      <c r="BQ92" s="75"/>
      <c r="BR92" s="75" t="s">
        <v>351</v>
      </c>
      <c r="BS92" s="75" t="s">
        <v>351</v>
      </c>
      <c r="BT92" s="75" t="s">
        <v>351</v>
      </c>
      <c r="BU92" s="75" t="s">
        <v>351</v>
      </c>
      <c r="BV92" s="75"/>
      <c r="BW92" s="81" t="s">
        <v>327</v>
      </c>
      <c r="BX92" s="81" t="s">
        <v>351</v>
      </c>
      <c r="BY92" s="81" t="s">
        <v>351</v>
      </c>
      <c r="BZ92" s="81" t="s">
        <v>351</v>
      </c>
      <c r="CA92" s="81" t="s">
        <v>351</v>
      </c>
      <c r="CB92" s="81" t="s">
        <v>327</v>
      </c>
      <c r="CC92" s="77"/>
      <c r="CD92" s="77"/>
      <c r="CE92" s="81" t="s">
        <v>351</v>
      </c>
      <c r="CF92" s="77"/>
      <c r="CG92" s="81" t="s">
        <v>351</v>
      </c>
      <c r="CH92" s="77"/>
      <c r="CI92" s="77"/>
      <c r="CJ92" s="81" t="s">
        <v>351</v>
      </c>
      <c r="CK92" s="81" t="s">
        <v>327</v>
      </c>
      <c r="CL92" s="81" t="s">
        <v>351</v>
      </c>
      <c r="CM92" s="81" t="s">
        <v>351</v>
      </c>
      <c r="CN92" s="81" t="s">
        <v>351</v>
      </c>
      <c r="CO92" s="81" t="s">
        <v>327</v>
      </c>
      <c r="CP92" s="81" t="s">
        <v>351</v>
      </c>
      <c r="CQ92" s="81" t="s">
        <v>351</v>
      </c>
      <c r="CR92" s="81" t="s">
        <v>351</v>
      </c>
      <c r="CS92" s="81" t="s">
        <v>351</v>
      </c>
      <c r="CT92" s="81" t="s">
        <v>351</v>
      </c>
      <c r="CU92" s="81"/>
      <c r="CV92" s="75" t="s">
        <v>351</v>
      </c>
      <c r="CW92" s="75" t="s">
        <v>351</v>
      </c>
      <c r="CX92" s="75" t="s">
        <v>351</v>
      </c>
      <c r="CY92" s="75" t="s">
        <v>351</v>
      </c>
      <c r="CZ92" s="75" t="s">
        <v>351</v>
      </c>
      <c r="DA92" s="81"/>
      <c r="DC92" s="75" t="s">
        <v>351</v>
      </c>
      <c r="DD92" s="75" t="s">
        <v>351</v>
      </c>
      <c r="DE92" s="75" t="s">
        <v>351</v>
      </c>
      <c r="DF92" s="75" t="s">
        <v>351</v>
      </c>
      <c r="DJ92" s="75" t="s">
        <v>351</v>
      </c>
      <c r="DK92" s="75" t="s">
        <v>351</v>
      </c>
      <c r="DQ92" s="75" t="s">
        <v>351</v>
      </c>
      <c r="DS92" s="75" t="s">
        <v>351</v>
      </c>
      <c r="DV92" s="75" t="s">
        <v>351</v>
      </c>
      <c r="DW92" s="75" t="s">
        <v>351</v>
      </c>
      <c r="DZ92" s="75" t="s">
        <v>351</v>
      </c>
      <c r="EA92" s="75" t="s">
        <v>351</v>
      </c>
      <c r="EC92" s="75" t="s">
        <v>351</v>
      </c>
      <c r="ED92" s="75" t="s">
        <v>351</v>
      </c>
      <c r="EE92" s="75"/>
      <c r="EG92" s="75" t="s">
        <v>351</v>
      </c>
      <c r="EI92" s="75" t="s">
        <v>351</v>
      </c>
      <c r="EL92" s="75" t="s">
        <v>351</v>
      </c>
      <c r="EM92" s="75" t="s">
        <v>351</v>
      </c>
      <c r="EO92" s="75" t="s">
        <v>351</v>
      </c>
      <c r="EP92" s="75" t="s">
        <v>351</v>
      </c>
      <c r="ES92" s="75" t="s">
        <v>351</v>
      </c>
      <c r="ET92" s="75" t="s">
        <v>351</v>
      </c>
      <c r="EU92" s="75" t="s">
        <v>351</v>
      </c>
      <c r="FA92" s="75" t="s">
        <v>351</v>
      </c>
      <c r="FB92" s="75" t="s">
        <v>351</v>
      </c>
      <c r="FG92" s="81" t="s">
        <v>351</v>
      </c>
      <c r="FH92" s="81" t="s">
        <v>327</v>
      </c>
      <c r="FI92" s="81" t="s">
        <v>351</v>
      </c>
      <c r="FJ92" s="81" t="s">
        <v>351</v>
      </c>
      <c r="FK92" s="81" t="s">
        <v>351</v>
      </c>
      <c r="FM92" s="75" t="s">
        <v>351</v>
      </c>
      <c r="FN92" s="75" t="s">
        <v>351</v>
      </c>
      <c r="FQ92" s="75" t="s">
        <v>351</v>
      </c>
      <c r="FR92" s="75"/>
      <c r="FT92" s="75" t="s">
        <v>351</v>
      </c>
      <c r="FV92" s="75" t="s">
        <v>351</v>
      </c>
      <c r="FZ92" s="75" t="s">
        <v>351</v>
      </c>
      <c r="GA92" s="75"/>
      <c r="GB92" s="75" t="s">
        <v>351</v>
      </c>
      <c r="GC92" s="75" t="s">
        <v>351</v>
      </c>
      <c r="GF92" s="75" t="s">
        <v>351</v>
      </c>
      <c r="GH92" s="81" t="s">
        <v>351</v>
      </c>
      <c r="GI92" s="81" t="s">
        <v>327</v>
      </c>
      <c r="GJ92" s="81" t="s">
        <v>351</v>
      </c>
      <c r="GK92" s="81" t="s">
        <v>351</v>
      </c>
      <c r="GL92" s="81" t="s">
        <v>351</v>
      </c>
      <c r="GM92" s="81"/>
      <c r="GO92" s="75" t="s">
        <v>351</v>
      </c>
      <c r="GP92" s="75" t="s">
        <v>351</v>
      </c>
      <c r="GT92" s="75" t="s">
        <v>351</v>
      </c>
      <c r="GX92" s="75" t="s">
        <v>351</v>
      </c>
      <c r="HC92" s="75" t="s">
        <v>351</v>
      </c>
      <c r="HG92" s="75" t="s">
        <v>351</v>
      </c>
      <c r="HH92" s="75" t="s">
        <v>351</v>
      </c>
      <c r="HK92" s="75" t="s">
        <v>351</v>
      </c>
      <c r="HP92" s="75" t="s">
        <v>351</v>
      </c>
      <c r="HQ92" s="75" t="s">
        <v>351</v>
      </c>
      <c r="HV92" s="75" t="s">
        <v>351</v>
      </c>
      <c r="IB92" s="81" t="s">
        <v>351</v>
      </c>
      <c r="IC92" s="81" t="s">
        <v>327</v>
      </c>
      <c r="ID92" s="81" t="s">
        <v>327</v>
      </c>
      <c r="IE92" s="81" t="s">
        <v>327</v>
      </c>
      <c r="IF92" s="81" t="s">
        <v>351</v>
      </c>
      <c r="IG92" s="81" t="s">
        <v>351</v>
      </c>
      <c r="IH92" s="81"/>
      <c r="II92" s="75" t="s">
        <v>351</v>
      </c>
      <c r="IJ92" s="75" t="s">
        <v>351</v>
      </c>
      <c r="IK92" s="75" t="s">
        <v>351</v>
      </c>
      <c r="IL92" s="75" t="s">
        <v>351</v>
      </c>
      <c r="IM92" s="75" t="s">
        <v>351</v>
      </c>
      <c r="IN92" s="81"/>
      <c r="IT92" s="75" t="s">
        <v>351</v>
      </c>
      <c r="IY92" s="75" t="s">
        <v>351</v>
      </c>
      <c r="JC92" s="81" t="s">
        <v>351</v>
      </c>
      <c r="JE92" s="81" t="s">
        <v>351</v>
      </c>
      <c r="JF92" s="81" t="s">
        <v>327</v>
      </c>
      <c r="JG92" s="81" t="s">
        <v>327</v>
      </c>
      <c r="JH92" s="81" t="s">
        <v>327</v>
      </c>
      <c r="JI92" s="81" t="s">
        <v>327</v>
      </c>
      <c r="JJ92" s="81" t="s">
        <v>351</v>
      </c>
      <c r="JK92" s="81" t="s">
        <v>351</v>
      </c>
      <c r="JL92" s="81"/>
      <c r="JN92" s="75" t="s">
        <v>351</v>
      </c>
      <c r="JP92" s="81"/>
      <c r="JR92" s="75" t="s">
        <v>351</v>
      </c>
      <c r="JS92" s="75" t="s">
        <v>351</v>
      </c>
      <c r="JT92" s="75" t="s">
        <v>351</v>
      </c>
    </row>
    <row r="93" spans="1:280" x14ac:dyDescent="0.15">
      <c r="A93" s="214" t="s">
        <v>122</v>
      </c>
      <c r="B93" s="6" t="s">
        <v>121</v>
      </c>
      <c r="C93" s="6">
        <v>70000</v>
      </c>
      <c r="D93" s="6">
        <v>2</v>
      </c>
      <c r="E93" s="6">
        <v>7</v>
      </c>
      <c r="F93" s="6">
        <v>2</v>
      </c>
      <c r="G93" s="6" t="s">
        <v>36</v>
      </c>
      <c r="H93" s="6" t="s">
        <v>36</v>
      </c>
      <c r="I93" s="6" t="s">
        <v>38</v>
      </c>
      <c r="J93" s="21" t="s">
        <v>126</v>
      </c>
      <c r="K93" s="21">
        <v>2</v>
      </c>
      <c r="L93" s="21">
        <v>1</v>
      </c>
      <c r="M93" s="21">
        <v>2</v>
      </c>
      <c r="N93" s="21">
        <v>2</v>
      </c>
      <c r="O93" s="21">
        <v>0</v>
      </c>
      <c r="P93" s="21" t="str">
        <f>IF(TeamT[[#This Row],[General]]+TeamT[[#This Row],[Agility]]+TeamT[[#This Row],[Strength]]+TeamT[[#This Row],[Passing]]+TeamT[[#This Row],[Mutation]]&gt;0,IF(TeamT[[#This Row],[General]]=1,"G","")&amp;IF(TeamT[[#This Row],[Agility]]=1,"A","")&amp;IF(TeamT[[#This Row],[Strength]]=1,"S","")&amp;IF(TeamT[[#This Row],[Passing]]=1,"P","")&amp;IF(TeamT[[#This Row],[Mutation]]=1,"M",""),"Star")</f>
        <v>A</v>
      </c>
      <c r="Q93" s="21" t="str">
        <f>IF(TeamT[[#This Row],[General]]=2,"G","")&amp;IF(TeamT[[#This Row],[Agility]]=2,"A","")&amp;IF(TeamT[[#This Row],[Strength]]=2,"S","")&amp;IF(TeamT[[#This Row],[Passing]]=2,"P","")&amp;IF(TeamT[[#This Row],[Mutation]]=2,"M","")</f>
        <v>GSP</v>
      </c>
      <c r="R93" s="212"/>
      <c r="S93" s="21">
        <v>3</v>
      </c>
      <c r="T93" s="21">
        <v>3</v>
      </c>
      <c r="U93" s="21">
        <v>8</v>
      </c>
      <c r="AA93" s="76" t="e">
        <f>HLOOKUP(Roster!$E$5,Team!$BL$2:$MK$128,92,FALSE)</f>
        <v>#N/A</v>
      </c>
      <c r="AB93" s="76" t="e">
        <f>HLOOKUP(Roster!$E$6,Team!$BL$2:$MK$128,92,FALSE)</f>
        <v>#N/A</v>
      </c>
      <c r="AC93" s="76" t="e">
        <f>HLOOKUP(Roster!$E$7,Team!$BL$2:$MK$128,92,FALSE)</f>
        <v>#N/A</v>
      </c>
      <c r="AD93" s="76" t="e">
        <f>HLOOKUP(Roster!$E$8,Team!$BL$2:$MK$128,92,FALSE)</f>
        <v>#N/A</v>
      </c>
      <c r="AE93" s="76" t="e">
        <f>HLOOKUP(Roster!$E$9,Team!$BL$2:$MK$128,92,FALSE)</f>
        <v>#N/A</v>
      </c>
      <c r="AF93" s="76" t="e">
        <f>HLOOKUP(Roster!$E$10,Team!$BL$2:$MK$128,92,FALSE)</f>
        <v>#N/A</v>
      </c>
      <c r="AG93" s="76" t="e">
        <f>HLOOKUP(Roster!$E$11,Team!$BL$2:$MK$128,92,FALSE)</f>
        <v>#N/A</v>
      </c>
      <c r="AH93" s="76" t="e">
        <f>HLOOKUP(Roster!$E$12,Team!$BL$2:$MK$128,92,FALSE)</f>
        <v>#N/A</v>
      </c>
      <c r="AI93" s="76" t="e">
        <f>HLOOKUP(Roster!$E$13,Team!$BL$2:$MK$128,92,FALSE)</f>
        <v>#N/A</v>
      </c>
      <c r="AJ93" s="76" t="e">
        <f>HLOOKUP(Roster!$E$14,Team!$BL$2:$MK$128,92,FALSE)</f>
        <v>#N/A</v>
      </c>
      <c r="AK93" s="76" t="e">
        <f>HLOOKUP(Roster!$E$15,Team!$BL$2:$MK$128,92,FALSE)</f>
        <v>#N/A</v>
      </c>
      <c r="AL93" s="76" t="e">
        <f>HLOOKUP(Roster!$E$16,Team!$BL$2:$MK$128,92,FALSE)</f>
        <v>#N/A</v>
      </c>
      <c r="AM93" s="76" t="e">
        <f>HLOOKUP(Roster!$E$17,Team!$BL$2:$MK$128,92,FALSE)</f>
        <v>#N/A</v>
      </c>
      <c r="AN93" s="76" t="e">
        <f>HLOOKUP(Roster!$E$18,Team!$BL$2:$MK$128,92,FALSE)</f>
        <v>#N/A</v>
      </c>
      <c r="AO93" s="76" t="e">
        <f>HLOOKUP(Roster!$E$19,Team!$BL$2:$MK$128,92,FALSE)</f>
        <v>#N/A</v>
      </c>
      <c r="AP93" s="76" t="e">
        <f>HLOOKUP(Roster!$E$20,Team!$BL$2:$MK$128,92,FALSE)</f>
        <v>#N/A</v>
      </c>
      <c r="AR93" s="108">
        <f t="shared" si="17"/>
        <v>0</v>
      </c>
      <c r="AS93" s="108">
        <f t="shared" si="18"/>
        <v>0</v>
      </c>
      <c r="AT93" s="108">
        <f t="shared" si="19"/>
        <v>0</v>
      </c>
      <c r="AU93" s="108">
        <f t="shared" si="20"/>
        <v>0</v>
      </c>
      <c r="AV93" s="108">
        <f t="shared" si="21"/>
        <v>0</v>
      </c>
      <c r="AW93" s="108">
        <f t="shared" si="22"/>
        <v>0</v>
      </c>
      <c r="AX93" s="108">
        <f t="shared" si="23"/>
        <v>0</v>
      </c>
      <c r="AY93" s="108">
        <f t="shared" si="24"/>
        <v>0</v>
      </c>
      <c r="AZ93" s="108">
        <f t="shared" si="25"/>
        <v>0</v>
      </c>
      <c r="BA93" s="108">
        <f t="shared" si="26"/>
        <v>0</v>
      </c>
      <c r="BB93" s="108">
        <f t="shared" si="27"/>
        <v>0</v>
      </c>
      <c r="BC93" s="108">
        <f t="shared" si="28"/>
        <v>0</v>
      </c>
      <c r="BD93" s="108">
        <f t="shared" si="29"/>
        <v>0</v>
      </c>
      <c r="BE93" s="108">
        <f t="shared" si="30"/>
        <v>0</v>
      </c>
      <c r="BF93" s="108">
        <f t="shared" si="31"/>
        <v>0</v>
      </c>
      <c r="BG93" s="108">
        <f t="shared" si="32"/>
        <v>0</v>
      </c>
      <c r="BM93" s="75" t="s">
        <v>352</v>
      </c>
      <c r="BQ93" s="75"/>
      <c r="BR93" s="75" t="s">
        <v>352</v>
      </c>
      <c r="BS93" s="75" t="s">
        <v>352</v>
      </c>
      <c r="BT93" s="75" t="s">
        <v>352</v>
      </c>
      <c r="BU93" s="75" t="s">
        <v>352</v>
      </c>
      <c r="BV93" s="75"/>
      <c r="BW93" s="81" t="s">
        <v>328</v>
      </c>
      <c r="BX93" s="81" t="s">
        <v>352</v>
      </c>
      <c r="BY93" s="81" t="s">
        <v>352</v>
      </c>
      <c r="BZ93" s="81" t="s">
        <v>352</v>
      </c>
      <c r="CA93" s="81" t="s">
        <v>352</v>
      </c>
      <c r="CB93" s="81" t="s">
        <v>328</v>
      </c>
      <c r="CC93" s="77"/>
      <c r="CD93" s="77"/>
      <c r="CE93" s="81" t="s">
        <v>352</v>
      </c>
      <c r="CF93" s="77"/>
      <c r="CG93" s="81" t="s">
        <v>352</v>
      </c>
      <c r="CH93" s="77"/>
      <c r="CI93" s="77"/>
      <c r="CJ93" s="81" t="s">
        <v>352</v>
      </c>
      <c r="CK93" s="81" t="s">
        <v>328</v>
      </c>
      <c r="CL93" s="81" t="s">
        <v>352</v>
      </c>
      <c r="CM93" s="81" t="s">
        <v>352</v>
      </c>
      <c r="CN93" s="81" t="s">
        <v>352</v>
      </c>
      <c r="CO93" s="81" t="s">
        <v>328</v>
      </c>
      <c r="CP93" s="81" t="s">
        <v>352</v>
      </c>
      <c r="CQ93" s="81" t="s">
        <v>352</v>
      </c>
      <c r="CR93" s="81" t="s">
        <v>352</v>
      </c>
      <c r="CS93" s="81" t="s">
        <v>352</v>
      </c>
      <c r="CT93" s="81" t="s">
        <v>352</v>
      </c>
      <c r="CU93" s="81"/>
      <c r="CV93" s="75" t="s">
        <v>352</v>
      </c>
      <c r="CW93" s="75" t="s">
        <v>352</v>
      </c>
      <c r="CX93" s="75" t="s">
        <v>352</v>
      </c>
      <c r="CY93" s="75" t="s">
        <v>352</v>
      </c>
      <c r="CZ93" s="75" t="s">
        <v>352</v>
      </c>
      <c r="DA93" s="81"/>
      <c r="DC93" s="75" t="s">
        <v>352</v>
      </c>
      <c r="DD93" s="75" t="s">
        <v>352</v>
      </c>
      <c r="DE93" s="75" t="s">
        <v>352</v>
      </c>
      <c r="DF93" s="75" t="s">
        <v>352</v>
      </c>
      <c r="DJ93" s="75" t="s">
        <v>352</v>
      </c>
      <c r="DK93" s="75" t="s">
        <v>352</v>
      </c>
      <c r="DQ93" s="75" t="s">
        <v>352</v>
      </c>
      <c r="DS93" s="75" t="s">
        <v>352</v>
      </c>
      <c r="DV93" s="75" t="s">
        <v>352</v>
      </c>
      <c r="DW93" s="75" t="s">
        <v>352</v>
      </c>
      <c r="DZ93" s="75" t="s">
        <v>352</v>
      </c>
      <c r="EA93" s="75" t="s">
        <v>352</v>
      </c>
      <c r="EC93" s="75" t="s">
        <v>352</v>
      </c>
      <c r="ED93" s="75" t="s">
        <v>352</v>
      </c>
      <c r="EE93" s="75"/>
      <c r="EG93" s="75" t="s">
        <v>352</v>
      </c>
      <c r="EI93" s="75" t="s">
        <v>352</v>
      </c>
      <c r="EL93" s="75" t="s">
        <v>352</v>
      </c>
      <c r="EM93" s="75" t="s">
        <v>352</v>
      </c>
      <c r="EO93" s="75" t="s">
        <v>352</v>
      </c>
      <c r="EP93" s="75" t="s">
        <v>352</v>
      </c>
      <c r="ES93" s="75" t="s">
        <v>352</v>
      </c>
      <c r="ET93" s="75" t="s">
        <v>352</v>
      </c>
      <c r="EU93" s="75" t="s">
        <v>352</v>
      </c>
      <c r="FA93" s="75" t="s">
        <v>352</v>
      </c>
      <c r="FB93" s="75" t="s">
        <v>352</v>
      </c>
      <c r="FG93" s="81" t="s">
        <v>352</v>
      </c>
      <c r="FH93" s="81" t="s">
        <v>328</v>
      </c>
      <c r="FI93" s="81" t="s">
        <v>352</v>
      </c>
      <c r="FJ93" s="81" t="s">
        <v>352</v>
      </c>
      <c r="FK93" s="81" t="s">
        <v>352</v>
      </c>
      <c r="FM93" s="75" t="s">
        <v>352</v>
      </c>
      <c r="FN93" s="75" t="s">
        <v>352</v>
      </c>
      <c r="FQ93" s="75" t="s">
        <v>352</v>
      </c>
      <c r="FR93" s="75"/>
      <c r="FT93" s="75" t="s">
        <v>352</v>
      </c>
      <c r="FV93" s="75" t="s">
        <v>352</v>
      </c>
      <c r="FZ93" s="75" t="s">
        <v>352</v>
      </c>
      <c r="GB93" s="75" t="s">
        <v>352</v>
      </c>
      <c r="GC93" s="75" t="s">
        <v>352</v>
      </c>
      <c r="GF93" s="75" t="s">
        <v>352</v>
      </c>
      <c r="GH93" s="81" t="s">
        <v>352</v>
      </c>
      <c r="GI93" s="81" t="s">
        <v>328</v>
      </c>
      <c r="GJ93" s="81" t="s">
        <v>352</v>
      </c>
      <c r="GK93" s="81" t="s">
        <v>352</v>
      </c>
      <c r="GL93" s="81" t="s">
        <v>352</v>
      </c>
      <c r="GM93" s="81"/>
      <c r="GO93" s="75" t="s">
        <v>352</v>
      </c>
      <c r="GP93" s="75" t="s">
        <v>352</v>
      </c>
      <c r="GT93" s="75" t="s">
        <v>352</v>
      </c>
      <c r="GX93" s="75" t="s">
        <v>352</v>
      </c>
      <c r="HC93" s="75" t="s">
        <v>352</v>
      </c>
      <c r="HG93" s="75" t="s">
        <v>352</v>
      </c>
      <c r="HH93" s="75" t="s">
        <v>352</v>
      </c>
      <c r="HK93" s="75" t="s">
        <v>352</v>
      </c>
      <c r="HP93" s="75" t="s">
        <v>352</v>
      </c>
      <c r="HQ93" s="75" t="s">
        <v>352</v>
      </c>
      <c r="HV93" s="75" t="s">
        <v>352</v>
      </c>
      <c r="IB93" s="81" t="s">
        <v>352</v>
      </c>
      <c r="IC93" s="81" t="s">
        <v>328</v>
      </c>
      <c r="ID93" s="81" t="s">
        <v>328</v>
      </c>
      <c r="IE93" s="81" t="s">
        <v>328</v>
      </c>
      <c r="IF93" s="81" t="s">
        <v>352</v>
      </c>
      <c r="IG93" s="81" t="s">
        <v>352</v>
      </c>
      <c r="IH93" s="81"/>
      <c r="II93" s="75" t="s">
        <v>352</v>
      </c>
      <c r="IJ93" s="75" t="s">
        <v>352</v>
      </c>
      <c r="IK93" s="75" t="s">
        <v>352</v>
      </c>
      <c r="IL93" s="75" t="s">
        <v>352</v>
      </c>
      <c r="IM93" s="75" t="s">
        <v>352</v>
      </c>
      <c r="IN93" s="81"/>
      <c r="IT93" s="75" t="s">
        <v>352</v>
      </c>
      <c r="IY93" s="75" t="s">
        <v>352</v>
      </c>
      <c r="JC93" s="81" t="s">
        <v>352</v>
      </c>
      <c r="JE93" s="81" t="s">
        <v>352</v>
      </c>
      <c r="JF93" s="81" t="s">
        <v>328</v>
      </c>
      <c r="JG93" s="81" t="s">
        <v>328</v>
      </c>
      <c r="JH93" s="81" t="s">
        <v>328</v>
      </c>
      <c r="JI93" s="81" t="s">
        <v>328</v>
      </c>
      <c r="JJ93" s="81" t="s">
        <v>352</v>
      </c>
      <c r="JK93" s="81" t="s">
        <v>352</v>
      </c>
      <c r="JL93" s="81"/>
      <c r="JN93" s="75" t="s">
        <v>352</v>
      </c>
      <c r="JP93" s="81"/>
      <c r="JR93" s="75" t="s">
        <v>352</v>
      </c>
      <c r="JS93" s="75" t="s">
        <v>352</v>
      </c>
      <c r="JT93" s="75" t="s">
        <v>352</v>
      </c>
    </row>
    <row r="94" spans="1:280" x14ac:dyDescent="0.15">
      <c r="A94" s="214" t="s">
        <v>123</v>
      </c>
      <c r="B94" s="6" t="s">
        <v>121</v>
      </c>
      <c r="C94" s="6">
        <v>85000</v>
      </c>
      <c r="D94" s="6">
        <v>6</v>
      </c>
      <c r="E94" s="6">
        <v>6</v>
      </c>
      <c r="F94" s="6">
        <v>4</v>
      </c>
      <c r="G94" s="6" t="s">
        <v>40</v>
      </c>
      <c r="H94" s="6" t="s">
        <v>96</v>
      </c>
      <c r="I94" s="6" t="s">
        <v>41</v>
      </c>
      <c r="J94" s="21"/>
      <c r="K94" s="21">
        <v>1</v>
      </c>
      <c r="L94" s="21">
        <v>2</v>
      </c>
      <c r="M94" s="21">
        <v>1</v>
      </c>
      <c r="N94" s="21">
        <v>0</v>
      </c>
      <c r="O94" s="21">
        <v>0</v>
      </c>
      <c r="P94" s="21" t="str">
        <f>IF(TeamT[[#This Row],[General]]+TeamT[[#This Row],[Agility]]+TeamT[[#This Row],[Strength]]+TeamT[[#This Row],[Passing]]+TeamT[[#This Row],[Mutation]]&gt;0,IF(TeamT[[#This Row],[General]]=1,"G","")&amp;IF(TeamT[[#This Row],[Agility]]=1,"A","")&amp;IF(TeamT[[#This Row],[Strength]]=1,"S","")&amp;IF(TeamT[[#This Row],[Passing]]=1,"P","")&amp;IF(TeamT[[#This Row],[Mutation]]=1,"M",""),"Star")</f>
        <v>GS</v>
      </c>
      <c r="Q94" s="21" t="str">
        <f>IF(TeamT[[#This Row],[General]]=2,"G","")&amp;IF(TeamT[[#This Row],[Agility]]=2,"A","")&amp;IF(TeamT[[#This Row],[Strength]]=2,"S","")&amp;IF(TeamT[[#This Row],[Passing]]=2,"P","")&amp;IF(TeamT[[#This Row],[Mutation]]=2,"M","")</f>
        <v>A</v>
      </c>
      <c r="R94" s="212"/>
      <c r="S94" s="21">
        <v>5</v>
      </c>
      <c r="T94" s="21">
        <v>6</v>
      </c>
      <c r="U94" s="21">
        <v>10</v>
      </c>
      <c r="AA94" s="76" t="e">
        <f>HLOOKUP(Roster!$E$5,Team!$BL$2:$MK$128,93,FALSE)</f>
        <v>#N/A</v>
      </c>
      <c r="AB94" s="76" t="e">
        <f>HLOOKUP(Roster!$E$6,Team!$BL$2:$MK$128,93,FALSE)</f>
        <v>#N/A</v>
      </c>
      <c r="AC94" s="76" t="e">
        <f>HLOOKUP(Roster!$E$7,Team!$BL$2:$MK$128,93,FALSE)</f>
        <v>#N/A</v>
      </c>
      <c r="AD94" s="76" t="e">
        <f>HLOOKUP(Roster!$E$8,Team!$BL$2:$MK$128,93,FALSE)</f>
        <v>#N/A</v>
      </c>
      <c r="AE94" s="76" t="e">
        <f>HLOOKUP(Roster!$E$9,Team!$BL$2:$MK$128,93,FALSE)</f>
        <v>#N/A</v>
      </c>
      <c r="AF94" s="76" t="e">
        <f>HLOOKUP(Roster!$E$10,Team!$BL$2:$MK$128,93,FALSE)</f>
        <v>#N/A</v>
      </c>
      <c r="AG94" s="76" t="e">
        <f>HLOOKUP(Roster!$E$11,Team!$BL$2:$MK$128,93,FALSE)</f>
        <v>#N/A</v>
      </c>
      <c r="AH94" s="76" t="e">
        <f>HLOOKUP(Roster!$E$12,Team!$BL$2:$MK$128,93,FALSE)</f>
        <v>#N/A</v>
      </c>
      <c r="AI94" s="76" t="e">
        <f>HLOOKUP(Roster!$E$13,Team!$BL$2:$MK$128,93,FALSE)</f>
        <v>#N/A</v>
      </c>
      <c r="AJ94" s="76" t="e">
        <f>HLOOKUP(Roster!$E$14,Team!$BL$2:$MK$128,93,FALSE)</f>
        <v>#N/A</v>
      </c>
      <c r="AK94" s="76" t="e">
        <f>HLOOKUP(Roster!$E$15,Team!$BL$2:$MK$128,93,FALSE)</f>
        <v>#N/A</v>
      </c>
      <c r="AL94" s="76" t="e">
        <f>HLOOKUP(Roster!$E$16,Team!$BL$2:$MK$128,93,FALSE)</f>
        <v>#N/A</v>
      </c>
      <c r="AM94" s="76" t="e">
        <f>HLOOKUP(Roster!$E$17,Team!$BL$2:$MK$128,93,FALSE)</f>
        <v>#N/A</v>
      </c>
      <c r="AN94" s="76" t="e">
        <f>HLOOKUP(Roster!$E$18,Team!$BL$2:$MK$128,93,FALSE)</f>
        <v>#N/A</v>
      </c>
      <c r="AO94" s="76" t="e">
        <f>HLOOKUP(Roster!$E$19,Team!$BL$2:$MK$128,93,FALSE)</f>
        <v>#N/A</v>
      </c>
      <c r="AP94" s="76" t="e">
        <f>HLOOKUP(Roster!$E$20,Team!$BL$2:$MK$128,93,FALSE)</f>
        <v>#N/A</v>
      </c>
      <c r="AR94" s="108">
        <f t="shared" si="17"/>
        <v>0</v>
      </c>
      <c r="AS94" s="108">
        <f t="shared" si="18"/>
        <v>0</v>
      </c>
      <c r="AT94" s="108">
        <f t="shared" si="19"/>
        <v>0</v>
      </c>
      <c r="AU94" s="108">
        <f t="shared" si="20"/>
        <v>0</v>
      </c>
      <c r="AV94" s="108">
        <f t="shared" si="21"/>
        <v>0</v>
      </c>
      <c r="AW94" s="108">
        <f t="shared" si="22"/>
        <v>0</v>
      </c>
      <c r="AX94" s="108">
        <f t="shared" si="23"/>
        <v>0</v>
      </c>
      <c r="AY94" s="108">
        <f t="shared" si="24"/>
        <v>0</v>
      </c>
      <c r="AZ94" s="108">
        <f t="shared" si="25"/>
        <v>0</v>
      </c>
      <c r="BA94" s="108">
        <f t="shared" si="26"/>
        <v>0</v>
      </c>
      <c r="BB94" s="108">
        <f t="shared" si="27"/>
        <v>0</v>
      </c>
      <c r="BC94" s="108">
        <f t="shared" si="28"/>
        <v>0</v>
      </c>
      <c r="BD94" s="108">
        <f t="shared" si="29"/>
        <v>0</v>
      </c>
      <c r="BE94" s="108">
        <f t="shared" si="30"/>
        <v>0</v>
      </c>
      <c r="BF94" s="108">
        <f t="shared" si="31"/>
        <v>0</v>
      </c>
      <c r="BG94" s="108">
        <f t="shared" si="32"/>
        <v>0</v>
      </c>
      <c r="BM94" s="74" t="s">
        <v>353</v>
      </c>
      <c r="BQ94" s="74"/>
      <c r="BR94" s="74" t="s">
        <v>353</v>
      </c>
      <c r="BS94" s="74" t="s">
        <v>353</v>
      </c>
      <c r="BT94" s="74" t="s">
        <v>353</v>
      </c>
      <c r="BU94" s="74" t="s">
        <v>353</v>
      </c>
      <c r="BV94" s="74"/>
      <c r="BW94" s="81" t="s">
        <v>329</v>
      </c>
      <c r="BX94" s="80" t="s">
        <v>353</v>
      </c>
      <c r="BY94" s="80" t="s">
        <v>353</v>
      </c>
      <c r="BZ94" s="80" t="s">
        <v>353</v>
      </c>
      <c r="CA94" s="80" t="s">
        <v>353</v>
      </c>
      <c r="CB94" s="81" t="s">
        <v>329</v>
      </c>
      <c r="CC94" s="77"/>
      <c r="CD94" s="77"/>
      <c r="CE94" s="80" t="s">
        <v>353</v>
      </c>
      <c r="CF94" s="77"/>
      <c r="CG94" s="80" t="s">
        <v>353</v>
      </c>
      <c r="CH94" s="77"/>
      <c r="CI94" s="77"/>
      <c r="CJ94" s="80" t="s">
        <v>353</v>
      </c>
      <c r="CK94" s="81" t="s">
        <v>329</v>
      </c>
      <c r="CL94" s="80" t="s">
        <v>353</v>
      </c>
      <c r="CM94" s="80" t="s">
        <v>353</v>
      </c>
      <c r="CN94" s="80" t="s">
        <v>353</v>
      </c>
      <c r="CO94" s="81" t="s">
        <v>329</v>
      </c>
      <c r="CP94" s="80" t="s">
        <v>353</v>
      </c>
      <c r="CQ94" s="80" t="s">
        <v>353</v>
      </c>
      <c r="CR94" s="80" t="s">
        <v>353</v>
      </c>
      <c r="CS94" s="80" t="s">
        <v>353</v>
      </c>
      <c r="CT94" s="80" t="s">
        <v>353</v>
      </c>
      <c r="CU94" s="80"/>
      <c r="CV94" s="74" t="s">
        <v>353</v>
      </c>
      <c r="CW94" s="74" t="s">
        <v>353</v>
      </c>
      <c r="CX94" s="74" t="s">
        <v>353</v>
      </c>
      <c r="CY94" s="74" t="s">
        <v>353</v>
      </c>
      <c r="CZ94" s="74" t="s">
        <v>353</v>
      </c>
      <c r="DA94" s="80"/>
      <c r="DC94" s="74" t="s">
        <v>353</v>
      </c>
      <c r="DD94" s="74" t="s">
        <v>353</v>
      </c>
      <c r="DE94" s="74" t="s">
        <v>353</v>
      </c>
      <c r="DF94" s="74" t="s">
        <v>353</v>
      </c>
      <c r="DJ94" s="74" t="s">
        <v>353</v>
      </c>
      <c r="DK94" s="74" t="s">
        <v>353</v>
      </c>
      <c r="DQ94" s="74" t="s">
        <v>353</v>
      </c>
      <c r="DS94" s="74" t="s">
        <v>353</v>
      </c>
      <c r="DV94" s="74" t="s">
        <v>353</v>
      </c>
      <c r="DW94" s="74" t="s">
        <v>353</v>
      </c>
      <c r="DZ94" s="74" t="s">
        <v>353</v>
      </c>
      <c r="EA94" s="74" t="s">
        <v>353</v>
      </c>
      <c r="EC94" s="74" t="s">
        <v>353</v>
      </c>
      <c r="ED94" s="74" t="s">
        <v>353</v>
      </c>
      <c r="EE94" s="74"/>
      <c r="EG94" s="74" t="s">
        <v>353</v>
      </c>
      <c r="EI94" s="74" t="s">
        <v>353</v>
      </c>
      <c r="EL94" s="74" t="s">
        <v>353</v>
      </c>
      <c r="EM94" s="74" t="s">
        <v>353</v>
      </c>
      <c r="EO94" s="74" t="s">
        <v>353</v>
      </c>
      <c r="EP94" s="74" t="s">
        <v>353</v>
      </c>
      <c r="ES94" s="74" t="s">
        <v>353</v>
      </c>
      <c r="ET94" s="74" t="s">
        <v>353</v>
      </c>
      <c r="EU94" s="74" t="s">
        <v>353</v>
      </c>
      <c r="FA94" s="74" t="s">
        <v>353</v>
      </c>
      <c r="FB94" s="74" t="s">
        <v>353</v>
      </c>
      <c r="FG94" s="80" t="s">
        <v>353</v>
      </c>
      <c r="FH94" s="81" t="s">
        <v>329</v>
      </c>
      <c r="FI94" s="80" t="s">
        <v>353</v>
      </c>
      <c r="FJ94" s="80" t="s">
        <v>353</v>
      </c>
      <c r="FK94" s="80" t="s">
        <v>353</v>
      </c>
      <c r="FM94" s="74" t="s">
        <v>353</v>
      </c>
      <c r="FN94" s="74" t="s">
        <v>353</v>
      </c>
      <c r="FQ94" s="74" t="s">
        <v>353</v>
      </c>
      <c r="FR94" s="74"/>
      <c r="FT94" s="74" t="s">
        <v>353</v>
      </c>
      <c r="FV94" s="74" t="s">
        <v>353</v>
      </c>
      <c r="FZ94" s="74" t="s">
        <v>353</v>
      </c>
      <c r="GB94" s="74" t="s">
        <v>353</v>
      </c>
      <c r="GC94" s="74" t="s">
        <v>353</v>
      </c>
      <c r="GF94" s="74" t="s">
        <v>353</v>
      </c>
      <c r="GH94" s="80" t="s">
        <v>353</v>
      </c>
      <c r="GI94" s="81" t="s">
        <v>329</v>
      </c>
      <c r="GJ94" s="80" t="s">
        <v>353</v>
      </c>
      <c r="GK94" s="80" t="s">
        <v>353</v>
      </c>
      <c r="GL94" s="80" t="s">
        <v>353</v>
      </c>
      <c r="GM94" s="80"/>
      <c r="GO94" s="74" t="s">
        <v>353</v>
      </c>
      <c r="GP94" s="74" t="s">
        <v>353</v>
      </c>
      <c r="GT94" s="74" t="s">
        <v>353</v>
      </c>
      <c r="GX94" s="74" t="s">
        <v>353</v>
      </c>
      <c r="HC94" s="74" t="s">
        <v>353</v>
      </c>
      <c r="HG94" s="74" t="s">
        <v>353</v>
      </c>
      <c r="HH94" s="74" t="s">
        <v>353</v>
      </c>
      <c r="HK94" s="74" t="s">
        <v>353</v>
      </c>
      <c r="HP94" s="74" t="s">
        <v>353</v>
      </c>
      <c r="HQ94" s="74" t="s">
        <v>353</v>
      </c>
      <c r="HV94" s="74" t="s">
        <v>353</v>
      </c>
      <c r="IB94" s="80" t="s">
        <v>353</v>
      </c>
      <c r="IC94" s="81" t="s">
        <v>329</v>
      </c>
      <c r="ID94" s="81" t="s">
        <v>329</v>
      </c>
      <c r="IE94" s="81" t="s">
        <v>329</v>
      </c>
      <c r="IF94" s="80" t="s">
        <v>353</v>
      </c>
      <c r="IG94" s="80" t="s">
        <v>353</v>
      </c>
      <c r="IH94" s="80"/>
      <c r="II94" s="74" t="s">
        <v>353</v>
      </c>
      <c r="IJ94" s="74" t="s">
        <v>353</v>
      </c>
      <c r="IK94" s="74" t="s">
        <v>353</v>
      </c>
      <c r="IL94" s="74" t="s">
        <v>353</v>
      </c>
      <c r="IM94" s="74" t="s">
        <v>353</v>
      </c>
      <c r="IN94" s="80"/>
      <c r="IT94" s="74" t="s">
        <v>353</v>
      </c>
      <c r="IY94" s="74" t="s">
        <v>353</v>
      </c>
      <c r="JC94" s="80" t="s">
        <v>353</v>
      </c>
      <c r="JE94" s="80" t="s">
        <v>353</v>
      </c>
      <c r="JF94" s="81" t="s">
        <v>329</v>
      </c>
      <c r="JG94" s="81" t="s">
        <v>329</v>
      </c>
      <c r="JH94" s="81" t="s">
        <v>329</v>
      </c>
      <c r="JI94" s="81" t="s">
        <v>329</v>
      </c>
      <c r="JJ94" s="80" t="s">
        <v>353</v>
      </c>
      <c r="JK94" s="80" t="s">
        <v>353</v>
      </c>
      <c r="JL94" s="80"/>
      <c r="JN94" s="74" t="s">
        <v>353</v>
      </c>
      <c r="JP94" s="80"/>
      <c r="JR94" s="74" t="s">
        <v>353</v>
      </c>
      <c r="JS94" s="74" t="s">
        <v>353</v>
      </c>
      <c r="JT94" s="74" t="s">
        <v>353</v>
      </c>
    </row>
    <row r="95" spans="1:280" ht="26.25" x14ac:dyDescent="0.15">
      <c r="A95" s="214" t="s">
        <v>124</v>
      </c>
      <c r="B95" s="6" t="s">
        <v>121</v>
      </c>
      <c r="C95" s="6">
        <v>140000</v>
      </c>
      <c r="D95" s="6">
        <v>1</v>
      </c>
      <c r="E95" s="6">
        <v>6</v>
      </c>
      <c r="F95" s="6">
        <v>5</v>
      </c>
      <c r="G95" s="6" t="s">
        <v>40</v>
      </c>
      <c r="H95" s="6" t="s">
        <v>53</v>
      </c>
      <c r="I95" s="6" t="s">
        <v>41</v>
      </c>
      <c r="J95" s="21" t="s">
        <v>708</v>
      </c>
      <c r="K95" s="21">
        <v>2</v>
      </c>
      <c r="L95" s="21">
        <v>2</v>
      </c>
      <c r="M95" s="21">
        <v>1</v>
      </c>
      <c r="N95" s="21">
        <v>0</v>
      </c>
      <c r="O95" s="21">
        <v>0</v>
      </c>
      <c r="P95" s="21" t="str">
        <f>IF(TeamT[[#This Row],[General]]+TeamT[[#This Row],[Agility]]+TeamT[[#This Row],[Strength]]+TeamT[[#This Row],[Passing]]+TeamT[[#This Row],[Mutation]]&gt;0,IF(TeamT[[#This Row],[General]]=1,"G","")&amp;IF(TeamT[[#This Row],[Agility]]=1,"A","")&amp;IF(TeamT[[#This Row],[Strength]]=1,"S","")&amp;IF(TeamT[[#This Row],[Passing]]=1,"P","")&amp;IF(TeamT[[#This Row],[Mutation]]=1,"M",""),"Star")</f>
        <v>S</v>
      </c>
      <c r="Q95" s="21" t="str">
        <f>IF(TeamT[[#This Row],[General]]=2,"G","")&amp;IF(TeamT[[#This Row],[Agility]]=2,"A","")&amp;IF(TeamT[[#This Row],[Strength]]=2,"S","")&amp;IF(TeamT[[#This Row],[Passing]]=2,"P","")&amp;IF(TeamT[[#This Row],[Mutation]]=2,"M","")</f>
        <v>GA</v>
      </c>
      <c r="R95" s="212"/>
      <c r="S95" s="21">
        <v>5</v>
      </c>
      <c r="T95" s="21" t="s">
        <v>53</v>
      </c>
      <c r="U95" s="21">
        <v>10</v>
      </c>
      <c r="AA95" s="76" t="e">
        <f>HLOOKUP(Roster!$E$5,Team!$BL$2:$MK$128,94,FALSE)</f>
        <v>#N/A</v>
      </c>
      <c r="AB95" s="76" t="e">
        <f>HLOOKUP(Roster!$E$6,Team!$BL$2:$MK$128,94,FALSE)</f>
        <v>#N/A</v>
      </c>
      <c r="AC95" s="76" t="e">
        <f>HLOOKUP(Roster!$E$7,Team!$BL$2:$MK$128,94,FALSE)</f>
        <v>#N/A</v>
      </c>
      <c r="AD95" s="76" t="e">
        <f>HLOOKUP(Roster!$E$8,Team!$BL$2:$MK$128,94,FALSE)</f>
        <v>#N/A</v>
      </c>
      <c r="AE95" s="76" t="e">
        <f>HLOOKUP(Roster!$E$9,Team!$BL$2:$MK$128,94,FALSE)</f>
        <v>#N/A</v>
      </c>
      <c r="AF95" s="76" t="e">
        <f>HLOOKUP(Roster!$E$10,Team!$BL$2:$MK$128,94,FALSE)</f>
        <v>#N/A</v>
      </c>
      <c r="AG95" s="76" t="e">
        <f>HLOOKUP(Roster!$E$11,Team!$BL$2:$MK$128,94,FALSE)</f>
        <v>#N/A</v>
      </c>
      <c r="AH95" s="76" t="e">
        <f>HLOOKUP(Roster!$E$12,Team!$BL$2:$MK$128,94,FALSE)</f>
        <v>#N/A</v>
      </c>
      <c r="AI95" s="76" t="e">
        <f>HLOOKUP(Roster!$E$13,Team!$BL$2:$MK$128,94,FALSE)</f>
        <v>#N/A</v>
      </c>
      <c r="AJ95" s="76" t="e">
        <f>HLOOKUP(Roster!$E$14,Team!$BL$2:$MK$128,94,FALSE)</f>
        <v>#N/A</v>
      </c>
      <c r="AK95" s="76" t="e">
        <f>HLOOKUP(Roster!$E$15,Team!$BL$2:$MK$128,94,FALSE)</f>
        <v>#N/A</v>
      </c>
      <c r="AL95" s="76" t="e">
        <f>HLOOKUP(Roster!$E$16,Team!$BL$2:$MK$128,94,FALSE)</f>
        <v>#N/A</v>
      </c>
      <c r="AM95" s="76" t="e">
        <f>HLOOKUP(Roster!$E$17,Team!$BL$2:$MK$128,94,FALSE)</f>
        <v>#N/A</v>
      </c>
      <c r="AN95" s="76" t="e">
        <f>HLOOKUP(Roster!$E$18,Team!$BL$2:$MK$128,94,FALSE)</f>
        <v>#N/A</v>
      </c>
      <c r="AO95" s="76" t="e">
        <f>HLOOKUP(Roster!$E$19,Team!$BL$2:$MK$128,94,FALSE)</f>
        <v>#N/A</v>
      </c>
      <c r="AP95" s="76" t="e">
        <f>HLOOKUP(Roster!$E$20,Team!$BL$2:$MK$128,94,FALSE)</f>
        <v>#N/A</v>
      </c>
      <c r="AR95" s="108">
        <f t="shared" si="17"/>
        <v>0</v>
      </c>
      <c r="AS95" s="108">
        <f t="shared" si="18"/>
        <v>0</v>
      </c>
      <c r="AT95" s="108">
        <f t="shared" si="19"/>
        <v>0</v>
      </c>
      <c r="AU95" s="108">
        <f t="shared" si="20"/>
        <v>0</v>
      </c>
      <c r="AV95" s="108">
        <f t="shared" si="21"/>
        <v>0</v>
      </c>
      <c r="AW95" s="108">
        <f t="shared" si="22"/>
        <v>0</v>
      </c>
      <c r="AX95" s="108">
        <f t="shared" si="23"/>
        <v>0</v>
      </c>
      <c r="AY95" s="108">
        <f t="shared" si="24"/>
        <v>0</v>
      </c>
      <c r="AZ95" s="108">
        <f t="shared" si="25"/>
        <v>0</v>
      </c>
      <c r="BA95" s="108">
        <f t="shared" si="26"/>
        <v>0</v>
      </c>
      <c r="BB95" s="108">
        <f t="shared" si="27"/>
        <v>0</v>
      </c>
      <c r="BC95" s="108">
        <f t="shared" si="28"/>
        <v>0</v>
      </c>
      <c r="BD95" s="108">
        <f t="shared" si="29"/>
        <v>0</v>
      </c>
      <c r="BE95" s="108">
        <f t="shared" si="30"/>
        <v>0</v>
      </c>
      <c r="BF95" s="108">
        <f t="shared" si="31"/>
        <v>0</v>
      </c>
      <c r="BG95" s="108">
        <f t="shared" si="32"/>
        <v>0</v>
      </c>
      <c r="BM95" s="75" t="s">
        <v>354</v>
      </c>
      <c r="BN95" s="75"/>
      <c r="BO95" s="75"/>
      <c r="BP95" s="75"/>
      <c r="BQ95" s="75"/>
      <c r="BR95" s="75" t="s">
        <v>354</v>
      </c>
      <c r="BS95" s="75" t="s">
        <v>354</v>
      </c>
      <c r="BT95" s="75" t="s">
        <v>354</v>
      </c>
      <c r="BU95" s="75" t="s">
        <v>354</v>
      </c>
      <c r="BV95" s="75"/>
      <c r="BW95" s="81" t="s">
        <v>330</v>
      </c>
      <c r="BX95" s="81" t="s">
        <v>354</v>
      </c>
      <c r="BY95" s="81" t="s">
        <v>354</v>
      </c>
      <c r="BZ95" s="81" t="s">
        <v>354</v>
      </c>
      <c r="CA95" s="81" t="s">
        <v>354</v>
      </c>
      <c r="CB95" s="81" t="s">
        <v>330</v>
      </c>
      <c r="CC95" s="77"/>
      <c r="CD95" s="77"/>
      <c r="CE95" s="81" t="s">
        <v>354</v>
      </c>
      <c r="CF95" s="77"/>
      <c r="CG95" s="81" t="s">
        <v>354</v>
      </c>
      <c r="CH95" s="77"/>
      <c r="CI95" s="77"/>
      <c r="CJ95" s="81" t="s">
        <v>354</v>
      </c>
      <c r="CK95" s="81" t="s">
        <v>330</v>
      </c>
      <c r="CL95" s="81" t="s">
        <v>354</v>
      </c>
      <c r="CM95" s="81" t="s">
        <v>354</v>
      </c>
      <c r="CN95" s="81" t="s">
        <v>354</v>
      </c>
      <c r="CO95" s="81" t="s">
        <v>330</v>
      </c>
      <c r="CP95" s="81" t="s">
        <v>354</v>
      </c>
      <c r="CQ95" s="81" t="s">
        <v>354</v>
      </c>
      <c r="CR95" s="81" t="s">
        <v>354</v>
      </c>
      <c r="CS95" s="81" t="s">
        <v>354</v>
      </c>
      <c r="CT95" s="81" t="s">
        <v>354</v>
      </c>
      <c r="CU95" s="81"/>
      <c r="CV95" s="75" t="s">
        <v>354</v>
      </c>
      <c r="CW95" s="75" t="s">
        <v>354</v>
      </c>
      <c r="CX95" s="75" t="s">
        <v>354</v>
      </c>
      <c r="CY95" s="75" t="s">
        <v>354</v>
      </c>
      <c r="CZ95" s="75" t="s">
        <v>354</v>
      </c>
      <c r="DA95" s="81"/>
      <c r="DC95" s="75" t="s">
        <v>354</v>
      </c>
      <c r="DD95" s="75" t="s">
        <v>354</v>
      </c>
      <c r="DE95" s="75" t="s">
        <v>354</v>
      </c>
      <c r="DF95" s="75" t="s">
        <v>354</v>
      </c>
      <c r="DJ95" s="75" t="s">
        <v>354</v>
      </c>
      <c r="DK95" s="75" t="s">
        <v>354</v>
      </c>
      <c r="DQ95" s="75" t="s">
        <v>354</v>
      </c>
      <c r="DS95" s="75" t="s">
        <v>354</v>
      </c>
      <c r="DV95" s="75" t="s">
        <v>354</v>
      </c>
      <c r="DW95" s="75" t="s">
        <v>354</v>
      </c>
      <c r="DZ95" s="75" t="s">
        <v>354</v>
      </c>
      <c r="EA95" s="75" t="s">
        <v>354</v>
      </c>
      <c r="EC95" s="75" t="s">
        <v>354</v>
      </c>
      <c r="ED95" s="75" t="s">
        <v>354</v>
      </c>
      <c r="EE95" s="75"/>
      <c r="EG95" s="75" t="s">
        <v>354</v>
      </c>
      <c r="EI95" s="75" t="s">
        <v>354</v>
      </c>
      <c r="EL95" s="75" t="s">
        <v>354</v>
      </c>
      <c r="EM95" s="75" t="s">
        <v>354</v>
      </c>
      <c r="EO95" s="75" t="s">
        <v>354</v>
      </c>
      <c r="EP95" s="75" t="s">
        <v>354</v>
      </c>
      <c r="ES95" s="75" t="s">
        <v>354</v>
      </c>
      <c r="ET95" s="75" t="s">
        <v>354</v>
      </c>
      <c r="EU95" s="75" t="s">
        <v>354</v>
      </c>
      <c r="FA95" s="75" t="s">
        <v>354</v>
      </c>
      <c r="FB95" s="75" t="s">
        <v>354</v>
      </c>
      <c r="FG95" s="81" t="s">
        <v>354</v>
      </c>
      <c r="FH95" s="81" t="s">
        <v>330</v>
      </c>
      <c r="FI95" s="81" t="s">
        <v>354</v>
      </c>
      <c r="FJ95" s="81" t="s">
        <v>354</v>
      </c>
      <c r="FK95" s="81" t="s">
        <v>354</v>
      </c>
      <c r="FM95" s="75" t="s">
        <v>354</v>
      </c>
      <c r="FN95" s="75" t="s">
        <v>354</v>
      </c>
      <c r="FQ95" s="75" t="s">
        <v>354</v>
      </c>
      <c r="FR95" s="75"/>
      <c r="FT95" s="75" t="s">
        <v>354</v>
      </c>
      <c r="FV95" s="75" t="s">
        <v>354</v>
      </c>
      <c r="FZ95" s="75" t="s">
        <v>354</v>
      </c>
      <c r="GB95" s="75" t="s">
        <v>354</v>
      </c>
      <c r="GC95" s="75" t="s">
        <v>354</v>
      </c>
      <c r="GF95" s="75" t="s">
        <v>354</v>
      </c>
      <c r="GH95" s="81" t="s">
        <v>354</v>
      </c>
      <c r="GI95" s="81" t="s">
        <v>330</v>
      </c>
      <c r="GJ95" s="81" t="s">
        <v>354</v>
      </c>
      <c r="GK95" s="81" t="s">
        <v>354</v>
      </c>
      <c r="GL95" s="81" t="s">
        <v>354</v>
      </c>
      <c r="GM95" s="81"/>
      <c r="GO95" s="75" t="s">
        <v>354</v>
      </c>
      <c r="GP95" s="75" t="s">
        <v>354</v>
      </c>
      <c r="GT95" s="75" t="s">
        <v>354</v>
      </c>
      <c r="GX95" s="75" t="s">
        <v>354</v>
      </c>
      <c r="HC95" s="75" t="s">
        <v>354</v>
      </c>
      <c r="HG95" s="75" t="s">
        <v>354</v>
      </c>
      <c r="HH95" s="75" t="s">
        <v>354</v>
      </c>
      <c r="HK95" s="75" t="s">
        <v>354</v>
      </c>
      <c r="HP95" s="75" t="s">
        <v>354</v>
      </c>
      <c r="HQ95" s="75" t="s">
        <v>354</v>
      </c>
      <c r="HV95" s="75" t="s">
        <v>354</v>
      </c>
      <c r="IB95" s="81" t="s">
        <v>354</v>
      </c>
      <c r="IC95" s="81" t="s">
        <v>330</v>
      </c>
      <c r="ID95" s="81" t="s">
        <v>330</v>
      </c>
      <c r="IE95" s="81" t="s">
        <v>330</v>
      </c>
      <c r="IF95" s="81" t="s">
        <v>354</v>
      </c>
      <c r="IG95" s="81" t="s">
        <v>354</v>
      </c>
      <c r="IH95" s="81"/>
      <c r="II95" s="75" t="s">
        <v>354</v>
      </c>
      <c r="IJ95" s="75" t="s">
        <v>354</v>
      </c>
      <c r="IK95" s="75" t="s">
        <v>354</v>
      </c>
      <c r="IL95" s="75" t="s">
        <v>354</v>
      </c>
      <c r="IM95" s="75" t="s">
        <v>354</v>
      </c>
      <c r="IN95" s="81"/>
      <c r="IT95" s="75" t="s">
        <v>354</v>
      </c>
      <c r="IY95" s="75" t="s">
        <v>354</v>
      </c>
      <c r="JC95" s="81" t="s">
        <v>354</v>
      </c>
      <c r="JE95" s="81" t="s">
        <v>354</v>
      </c>
      <c r="JF95" s="81" t="s">
        <v>330</v>
      </c>
      <c r="JG95" s="81" t="s">
        <v>330</v>
      </c>
      <c r="JH95" s="81" t="s">
        <v>330</v>
      </c>
      <c r="JI95" s="81" t="s">
        <v>330</v>
      </c>
      <c r="JJ95" s="81" t="s">
        <v>354</v>
      </c>
      <c r="JK95" s="81" t="s">
        <v>354</v>
      </c>
      <c r="JL95" s="81"/>
      <c r="JM95" s="81"/>
      <c r="JN95" s="75" t="s">
        <v>354</v>
      </c>
      <c r="JO95" s="81"/>
      <c r="JP95" s="81"/>
      <c r="JR95" s="75" t="s">
        <v>354</v>
      </c>
      <c r="JS95" s="75" t="s">
        <v>354</v>
      </c>
      <c r="JT95" s="75" t="s">
        <v>354</v>
      </c>
    </row>
    <row r="96" spans="1:280" x14ac:dyDescent="0.15">
      <c r="A96" s="214" t="s">
        <v>558</v>
      </c>
      <c r="B96" s="6" t="s">
        <v>121</v>
      </c>
      <c r="C96" s="6">
        <v>60000</v>
      </c>
      <c r="D96" s="6">
        <v>11</v>
      </c>
      <c r="E96" s="6">
        <v>8</v>
      </c>
      <c r="F96" s="6">
        <v>2</v>
      </c>
      <c r="G96" s="6" t="s">
        <v>36</v>
      </c>
      <c r="H96" s="6" t="s">
        <v>37</v>
      </c>
      <c r="I96" s="6" t="s">
        <v>38</v>
      </c>
      <c r="J96" s="21" t="s">
        <v>128</v>
      </c>
      <c r="K96" s="21">
        <v>2</v>
      </c>
      <c r="L96" s="21">
        <v>1</v>
      </c>
      <c r="M96" s="21">
        <v>2</v>
      </c>
      <c r="N96" s="21">
        <v>2</v>
      </c>
      <c r="O96" s="21">
        <v>0</v>
      </c>
      <c r="P96" s="21" t="str">
        <f>IF(TeamT[[#This Row],[General]]+TeamT[[#This Row],[Agility]]+TeamT[[#This Row],[Strength]]+TeamT[[#This Row],[Passing]]+TeamT[[#This Row],[Mutation]]&gt;0,IF(TeamT[[#This Row],[General]]=1,"G","")&amp;IF(TeamT[[#This Row],[Agility]]=1,"A","")&amp;IF(TeamT[[#This Row],[Strength]]=1,"S","")&amp;IF(TeamT[[#This Row],[Passing]]=1,"P","")&amp;IF(TeamT[[#This Row],[Mutation]]=1,"M",""),"Star")</f>
        <v>A</v>
      </c>
      <c r="Q96" s="21" t="str">
        <f>IF(TeamT[[#This Row],[General]]=2,"G","")&amp;IF(TeamT[[#This Row],[Agility]]=2,"A","")&amp;IF(TeamT[[#This Row],[Strength]]=2,"S","")&amp;IF(TeamT[[#This Row],[Passing]]=2,"P","")&amp;IF(TeamT[[#This Row],[Mutation]]=2,"M","")</f>
        <v>GSP</v>
      </c>
      <c r="R96" s="212"/>
      <c r="S96" s="21">
        <v>3</v>
      </c>
      <c r="T96" s="21">
        <v>4</v>
      </c>
      <c r="U96" s="21">
        <v>8</v>
      </c>
      <c r="AA96" s="76" t="e">
        <f>HLOOKUP(Roster!$E$5,Team!$BL$2:$MK$128,95,FALSE)</f>
        <v>#N/A</v>
      </c>
      <c r="AB96" s="76" t="e">
        <f>HLOOKUP(Roster!$E$6,Team!$BL$2:$MK$128,95,FALSE)</f>
        <v>#N/A</v>
      </c>
      <c r="AC96" s="76" t="e">
        <f>HLOOKUP(Roster!$E$7,Team!$BL$2:$MK$128,95,FALSE)</f>
        <v>#N/A</v>
      </c>
      <c r="AD96" s="76" t="e">
        <f>HLOOKUP(Roster!$E$8,Team!$BL$2:$MK$128,95,FALSE)</f>
        <v>#N/A</v>
      </c>
      <c r="AE96" s="76" t="e">
        <f>HLOOKUP(Roster!$E$9,Team!$BL$2:$MK$128,95,FALSE)</f>
        <v>#N/A</v>
      </c>
      <c r="AF96" s="76" t="e">
        <f>HLOOKUP(Roster!$E$10,Team!$BL$2:$MK$128,95,FALSE)</f>
        <v>#N/A</v>
      </c>
      <c r="AG96" s="76" t="e">
        <f>HLOOKUP(Roster!$E$11,Team!$BL$2:$MK$128,95,FALSE)</f>
        <v>#N/A</v>
      </c>
      <c r="AH96" s="76" t="e">
        <f>HLOOKUP(Roster!$E$12,Team!$BL$2:$MK$128,95,FALSE)</f>
        <v>#N/A</v>
      </c>
      <c r="AI96" s="76" t="e">
        <f>HLOOKUP(Roster!$E$13,Team!$BL$2:$MK$128,95,FALSE)</f>
        <v>#N/A</v>
      </c>
      <c r="AJ96" s="76" t="e">
        <f>HLOOKUP(Roster!$E$14,Team!$BL$2:$MK$128,95,FALSE)</f>
        <v>#N/A</v>
      </c>
      <c r="AK96" s="76" t="e">
        <f>HLOOKUP(Roster!$E$15,Team!$BL$2:$MK$128,95,FALSE)</f>
        <v>#N/A</v>
      </c>
      <c r="AL96" s="76" t="e">
        <f>HLOOKUP(Roster!$E$16,Team!$BL$2:$MK$128,95,FALSE)</f>
        <v>#N/A</v>
      </c>
      <c r="AM96" s="76" t="e">
        <f>HLOOKUP(Roster!$E$17,Team!$BL$2:$MK$128,95,FALSE)</f>
        <v>#N/A</v>
      </c>
      <c r="AN96" s="76" t="e">
        <f>HLOOKUP(Roster!$E$18,Team!$BL$2:$MK$128,95,FALSE)</f>
        <v>#N/A</v>
      </c>
      <c r="AO96" s="76" t="e">
        <f>HLOOKUP(Roster!$E$19,Team!$BL$2:$MK$128,95,FALSE)</f>
        <v>#N/A</v>
      </c>
      <c r="AP96" s="76" t="e">
        <f>HLOOKUP(Roster!$E$20,Team!$BL$2:$MK$128,95,FALSE)</f>
        <v>#N/A</v>
      </c>
      <c r="AR96" s="108">
        <f t="shared" si="17"/>
        <v>0</v>
      </c>
      <c r="AS96" s="108">
        <f t="shared" si="18"/>
        <v>0</v>
      </c>
      <c r="AT96" s="108">
        <f t="shared" si="19"/>
        <v>0</v>
      </c>
      <c r="AU96" s="108">
        <f t="shared" si="20"/>
        <v>0</v>
      </c>
      <c r="AV96" s="108">
        <f t="shared" si="21"/>
        <v>0</v>
      </c>
      <c r="AW96" s="108">
        <f t="shared" si="22"/>
        <v>0</v>
      </c>
      <c r="AX96" s="108">
        <f t="shared" si="23"/>
        <v>0</v>
      </c>
      <c r="AY96" s="108">
        <f t="shared" si="24"/>
        <v>0</v>
      </c>
      <c r="AZ96" s="108">
        <f t="shared" si="25"/>
        <v>0</v>
      </c>
      <c r="BA96" s="108">
        <f t="shared" si="26"/>
        <v>0</v>
      </c>
      <c r="BB96" s="108">
        <f t="shared" si="27"/>
        <v>0</v>
      </c>
      <c r="BC96" s="108">
        <f t="shared" si="28"/>
        <v>0</v>
      </c>
      <c r="BD96" s="108">
        <f t="shared" si="29"/>
        <v>0</v>
      </c>
      <c r="BE96" s="108">
        <f t="shared" si="30"/>
        <v>0</v>
      </c>
      <c r="BF96" s="108">
        <f t="shared" si="31"/>
        <v>0</v>
      </c>
      <c r="BG96" s="108">
        <f t="shared" si="32"/>
        <v>0</v>
      </c>
      <c r="BM96" s="75" t="s">
        <v>355</v>
      </c>
      <c r="BN96" s="75"/>
      <c r="BO96" s="75"/>
      <c r="BP96" s="75"/>
      <c r="BQ96" s="75"/>
      <c r="BR96" s="75" t="s">
        <v>355</v>
      </c>
      <c r="BS96" s="75" t="s">
        <v>355</v>
      </c>
      <c r="BT96" s="75" t="s">
        <v>355</v>
      </c>
      <c r="BU96" s="75" t="s">
        <v>355</v>
      </c>
      <c r="BV96" s="75"/>
      <c r="BW96" s="81" t="s">
        <v>331</v>
      </c>
      <c r="BX96" s="81" t="s">
        <v>355</v>
      </c>
      <c r="BY96" s="81" t="s">
        <v>355</v>
      </c>
      <c r="BZ96" s="81" t="s">
        <v>355</v>
      </c>
      <c r="CA96" s="81" t="s">
        <v>355</v>
      </c>
      <c r="CB96" s="81" t="s">
        <v>331</v>
      </c>
      <c r="CC96" s="77"/>
      <c r="CD96" s="77"/>
      <c r="CE96" s="81" t="s">
        <v>355</v>
      </c>
      <c r="CF96" s="77"/>
      <c r="CG96" s="81" t="s">
        <v>355</v>
      </c>
      <c r="CH96" s="77"/>
      <c r="CI96" s="77"/>
      <c r="CJ96" s="81" t="s">
        <v>355</v>
      </c>
      <c r="CK96" s="81" t="s">
        <v>331</v>
      </c>
      <c r="CL96" s="81" t="s">
        <v>355</v>
      </c>
      <c r="CM96" s="81" t="s">
        <v>355</v>
      </c>
      <c r="CN96" s="81" t="s">
        <v>355</v>
      </c>
      <c r="CO96" s="81" t="s">
        <v>331</v>
      </c>
      <c r="CP96" s="81" t="s">
        <v>355</v>
      </c>
      <c r="CQ96" s="81" t="s">
        <v>355</v>
      </c>
      <c r="CR96" s="81" t="s">
        <v>355</v>
      </c>
      <c r="CS96" s="81" t="s">
        <v>355</v>
      </c>
      <c r="CT96" s="81" t="s">
        <v>355</v>
      </c>
      <c r="CU96" s="81"/>
      <c r="CV96" s="75" t="s">
        <v>355</v>
      </c>
      <c r="CW96" s="75" t="s">
        <v>355</v>
      </c>
      <c r="CX96" s="75" t="s">
        <v>355</v>
      </c>
      <c r="CY96" s="75" t="s">
        <v>355</v>
      </c>
      <c r="CZ96" s="75" t="s">
        <v>355</v>
      </c>
      <c r="DA96" s="81"/>
      <c r="DC96" s="75" t="s">
        <v>355</v>
      </c>
      <c r="DD96" s="75" t="s">
        <v>355</v>
      </c>
      <c r="DE96" s="75" t="s">
        <v>355</v>
      </c>
      <c r="DF96" s="75" t="s">
        <v>355</v>
      </c>
      <c r="DJ96" s="75" t="s">
        <v>355</v>
      </c>
      <c r="DK96" s="75" t="s">
        <v>355</v>
      </c>
      <c r="DQ96" s="75" t="s">
        <v>355</v>
      </c>
      <c r="DS96" s="75" t="s">
        <v>355</v>
      </c>
      <c r="DV96" s="75" t="s">
        <v>355</v>
      </c>
      <c r="DW96" s="75" t="s">
        <v>355</v>
      </c>
      <c r="DZ96" s="75" t="s">
        <v>355</v>
      </c>
      <c r="EA96" s="75" t="s">
        <v>355</v>
      </c>
      <c r="EC96" s="75" t="s">
        <v>355</v>
      </c>
      <c r="ED96" s="75" t="s">
        <v>355</v>
      </c>
      <c r="EE96" s="75"/>
      <c r="EG96" s="75" t="s">
        <v>355</v>
      </c>
      <c r="EI96" s="75" t="s">
        <v>355</v>
      </c>
      <c r="EL96" s="75" t="s">
        <v>355</v>
      </c>
      <c r="EM96" s="75" t="s">
        <v>355</v>
      </c>
      <c r="EO96" s="75" t="s">
        <v>355</v>
      </c>
      <c r="EP96" s="75" t="s">
        <v>355</v>
      </c>
      <c r="ES96" s="75" t="s">
        <v>355</v>
      </c>
      <c r="ET96" s="75" t="s">
        <v>355</v>
      </c>
      <c r="EU96" s="75" t="s">
        <v>355</v>
      </c>
      <c r="FA96" s="75" t="s">
        <v>355</v>
      </c>
      <c r="FB96" s="75" t="s">
        <v>355</v>
      </c>
      <c r="FG96" s="81" t="s">
        <v>355</v>
      </c>
      <c r="FH96" s="81" t="s">
        <v>331</v>
      </c>
      <c r="FI96" s="81" t="s">
        <v>355</v>
      </c>
      <c r="FJ96" s="81" t="s">
        <v>355</v>
      </c>
      <c r="FK96" s="81" t="s">
        <v>355</v>
      </c>
      <c r="FM96" s="75" t="s">
        <v>355</v>
      </c>
      <c r="FN96" s="75" t="s">
        <v>355</v>
      </c>
      <c r="FQ96" s="75" t="s">
        <v>355</v>
      </c>
      <c r="FR96" s="75"/>
      <c r="FT96" s="75" t="s">
        <v>355</v>
      </c>
      <c r="FV96" s="75" t="s">
        <v>355</v>
      </c>
      <c r="FZ96" s="75" t="s">
        <v>355</v>
      </c>
      <c r="GB96" s="75" t="s">
        <v>355</v>
      </c>
      <c r="GC96" s="75" t="s">
        <v>355</v>
      </c>
      <c r="GF96" s="75" t="s">
        <v>355</v>
      </c>
      <c r="GH96" s="81" t="s">
        <v>355</v>
      </c>
      <c r="GI96" s="81" t="s">
        <v>331</v>
      </c>
      <c r="GJ96" s="81" t="s">
        <v>355</v>
      </c>
      <c r="GK96" s="81" t="s">
        <v>355</v>
      </c>
      <c r="GL96" s="81" t="s">
        <v>355</v>
      </c>
      <c r="GM96" s="81"/>
      <c r="GO96" s="75" t="s">
        <v>355</v>
      </c>
      <c r="GP96" s="75" t="s">
        <v>355</v>
      </c>
      <c r="GT96" s="75" t="s">
        <v>355</v>
      </c>
      <c r="GX96" s="75" t="s">
        <v>355</v>
      </c>
      <c r="HC96" s="75" t="s">
        <v>355</v>
      </c>
      <c r="HG96" s="75" t="s">
        <v>355</v>
      </c>
      <c r="HH96" s="75" t="s">
        <v>355</v>
      </c>
      <c r="HK96" s="75" t="s">
        <v>355</v>
      </c>
      <c r="HP96" s="75" t="s">
        <v>355</v>
      </c>
      <c r="HQ96" s="75" t="s">
        <v>355</v>
      </c>
      <c r="HV96" s="75" t="s">
        <v>355</v>
      </c>
      <c r="IB96" s="81" t="s">
        <v>355</v>
      </c>
      <c r="IC96" s="81" t="s">
        <v>331</v>
      </c>
      <c r="ID96" s="81" t="s">
        <v>331</v>
      </c>
      <c r="IE96" s="81" t="s">
        <v>331</v>
      </c>
      <c r="IF96" s="81" t="s">
        <v>355</v>
      </c>
      <c r="IG96" s="81" t="s">
        <v>355</v>
      </c>
      <c r="IH96" s="81"/>
      <c r="II96" s="75" t="s">
        <v>355</v>
      </c>
      <c r="IJ96" s="75" t="s">
        <v>355</v>
      </c>
      <c r="IK96" s="75" t="s">
        <v>355</v>
      </c>
      <c r="IL96" s="75" t="s">
        <v>355</v>
      </c>
      <c r="IM96" s="75" t="s">
        <v>355</v>
      </c>
      <c r="IN96" s="81"/>
      <c r="IT96" s="75" t="s">
        <v>355</v>
      </c>
      <c r="IY96" s="75" t="s">
        <v>355</v>
      </c>
      <c r="JC96" s="81" t="s">
        <v>355</v>
      </c>
      <c r="JE96" s="81" t="s">
        <v>355</v>
      </c>
      <c r="JF96" s="81" t="s">
        <v>331</v>
      </c>
      <c r="JG96" s="81" t="s">
        <v>331</v>
      </c>
      <c r="JH96" s="81" t="s">
        <v>331</v>
      </c>
      <c r="JI96" s="81" t="s">
        <v>331</v>
      </c>
      <c r="JJ96" s="81" t="s">
        <v>355</v>
      </c>
      <c r="JK96" s="81" t="s">
        <v>355</v>
      </c>
      <c r="JL96" s="81"/>
      <c r="JM96" s="81"/>
      <c r="JN96" s="75" t="s">
        <v>355</v>
      </c>
      <c r="JO96" s="81"/>
      <c r="JP96" s="81"/>
      <c r="JR96" s="75" t="s">
        <v>355</v>
      </c>
      <c r="JS96" s="75" t="s">
        <v>355</v>
      </c>
      <c r="JT96" s="75" t="s">
        <v>355</v>
      </c>
    </row>
    <row r="97" spans="1:280" x14ac:dyDescent="0.15">
      <c r="A97" s="214" t="s">
        <v>500</v>
      </c>
      <c r="B97" s="6" t="s">
        <v>488</v>
      </c>
      <c r="C97" s="6">
        <v>40000</v>
      </c>
      <c r="D97" s="6">
        <v>16</v>
      </c>
      <c r="E97" s="6">
        <v>4</v>
      </c>
      <c r="F97" s="6">
        <v>3</v>
      </c>
      <c r="G97" s="6" t="s">
        <v>37</v>
      </c>
      <c r="H97" s="6" t="s">
        <v>53</v>
      </c>
      <c r="I97" s="6" t="s">
        <v>46</v>
      </c>
      <c r="J97" s="21" t="s">
        <v>133</v>
      </c>
      <c r="K97" s="21">
        <v>1</v>
      </c>
      <c r="L97" s="21">
        <v>2</v>
      </c>
      <c r="M97" s="21">
        <v>2</v>
      </c>
      <c r="N97" s="21">
        <v>0</v>
      </c>
      <c r="O97" s="21">
        <v>0</v>
      </c>
      <c r="P97" s="21" t="str">
        <f>IF(TeamT[[#This Row],[General]]+TeamT[[#This Row],[Agility]]+TeamT[[#This Row],[Strength]]+TeamT[[#This Row],[Passing]]+TeamT[[#This Row],[Mutation]]&gt;0,IF(TeamT[[#This Row],[General]]=1,"G","")&amp;IF(TeamT[[#This Row],[Agility]]=1,"A","")&amp;IF(TeamT[[#This Row],[Strength]]=1,"S","")&amp;IF(TeamT[[#This Row],[Passing]]=1,"P","")&amp;IF(TeamT[[#This Row],[Mutation]]=1,"M",""),"Star")</f>
        <v>G</v>
      </c>
      <c r="Q97" s="21" t="str">
        <f>IF(TeamT[[#This Row],[General]]=2,"G","")&amp;IF(TeamT[[#This Row],[Agility]]=2,"A","")&amp;IF(TeamT[[#This Row],[Strength]]=2,"S","")&amp;IF(TeamT[[#This Row],[Passing]]=2,"P","")&amp;IF(TeamT[[#This Row],[Mutation]]=2,"M","")</f>
        <v>AS</v>
      </c>
      <c r="R97" s="212"/>
      <c r="S97" s="21">
        <v>4</v>
      </c>
      <c r="T97" s="21" t="s">
        <v>53</v>
      </c>
      <c r="U97" s="21">
        <v>9</v>
      </c>
      <c r="AA97" s="76" t="e">
        <f>HLOOKUP(Roster!$E$5,Team!$BL$2:$MK$128,96,FALSE)</f>
        <v>#N/A</v>
      </c>
      <c r="AB97" s="76" t="e">
        <f>HLOOKUP(Roster!$E$6,Team!$BL$2:$MK$128,96,FALSE)</f>
        <v>#N/A</v>
      </c>
      <c r="AC97" s="76" t="e">
        <f>HLOOKUP(Roster!$E$7,Team!$BL$2:$MK$128,96,FALSE)</f>
        <v>#N/A</v>
      </c>
      <c r="AD97" s="76" t="e">
        <f>HLOOKUP(Roster!$E$8,Team!$BL$2:$MK$128,96,FALSE)</f>
        <v>#N/A</v>
      </c>
      <c r="AE97" s="76" t="e">
        <f>HLOOKUP(Roster!$E$9,Team!$BL$2:$MK$128,96,FALSE)</f>
        <v>#N/A</v>
      </c>
      <c r="AF97" s="76" t="e">
        <f>HLOOKUP(Roster!$E$10,Team!$BL$2:$MK$128,96,FALSE)</f>
        <v>#N/A</v>
      </c>
      <c r="AG97" s="76" t="e">
        <f>HLOOKUP(Roster!$E$11,Team!$BL$2:$MK$128,96,FALSE)</f>
        <v>#N/A</v>
      </c>
      <c r="AH97" s="76" t="e">
        <f>HLOOKUP(Roster!$E$12,Team!$BL$2:$MK$128,96,FALSE)</f>
        <v>#N/A</v>
      </c>
      <c r="AI97" s="76" t="e">
        <f>HLOOKUP(Roster!$E$13,Team!$BL$2:$MK$128,96,FALSE)</f>
        <v>#N/A</v>
      </c>
      <c r="AJ97" s="76" t="e">
        <f>HLOOKUP(Roster!$E$14,Team!$BL$2:$MK$128,96,FALSE)</f>
        <v>#N/A</v>
      </c>
      <c r="AK97" s="76" t="e">
        <f>HLOOKUP(Roster!$E$15,Team!$BL$2:$MK$128,96,FALSE)</f>
        <v>#N/A</v>
      </c>
      <c r="AL97" s="76" t="e">
        <f>HLOOKUP(Roster!$E$16,Team!$BL$2:$MK$128,96,FALSE)</f>
        <v>#N/A</v>
      </c>
      <c r="AM97" s="76" t="e">
        <f>HLOOKUP(Roster!$E$17,Team!$BL$2:$MK$128,96,FALSE)</f>
        <v>#N/A</v>
      </c>
      <c r="AN97" s="76" t="e">
        <f>HLOOKUP(Roster!$E$18,Team!$BL$2:$MK$128,96,FALSE)</f>
        <v>#N/A</v>
      </c>
      <c r="AO97" s="76" t="e">
        <f>HLOOKUP(Roster!$E$19,Team!$BL$2:$MK$128,96,FALSE)</f>
        <v>#N/A</v>
      </c>
      <c r="AP97" s="76" t="e">
        <f>HLOOKUP(Roster!$E$20,Team!$BL$2:$MK$128,96,FALSE)</f>
        <v>#N/A</v>
      </c>
      <c r="AR97" s="108">
        <f t="shared" si="17"/>
        <v>0</v>
      </c>
      <c r="AS97" s="108">
        <f t="shared" si="18"/>
        <v>0</v>
      </c>
      <c r="AT97" s="108">
        <f t="shared" si="19"/>
        <v>0</v>
      </c>
      <c r="AU97" s="108">
        <f t="shared" si="20"/>
        <v>0</v>
      </c>
      <c r="AV97" s="108">
        <f t="shared" si="21"/>
        <v>0</v>
      </c>
      <c r="AW97" s="108">
        <f t="shared" si="22"/>
        <v>0</v>
      </c>
      <c r="AX97" s="108">
        <f t="shared" si="23"/>
        <v>0</v>
      </c>
      <c r="AY97" s="108">
        <f t="shared" si="24"/>
        <v>0</v>
      </c>
      <c r="AZ97" s="108">
        <f t="shared" si="25"/>
        <v>0</v>
      </c>
      <c r="BA97" s="108">
        <f t="shared" si="26"/>
        <v>0</v>
      </c>
      <c r="BB97" s="108">
        <f t="shared" si="27"/>
        <v>0</v>
      </c>
      <c r="BC97" s="108">
        <f t="shared" si="28"/>
        <v>0</v>
      </c>
      <c r="BD97" s="108">
        <f t="shared" si="29"/>
        <v>0</v>
      </c>
      <c r="BE97" s="108">
        <f t="shared" si="30"/>
        <v>0</v>
      </c>
      <c r="BF97" s="108">
        <f t="shared" si="31"/>
        <v>0</v>
      </c>
      <c r="BG97" s="108">
        <f t="shared" si="32"/>
        <v>0</v>
      </c>
      <c r="BM97" s="75" t="s">
        <v>356</v>
      </c>
      <c r="BN97" s="75"/>
      <c r="BO97" s="75"/>
      <c r="BP97" s="75"/>
      <c r="BQ97" s="75"/>
      <c r="BR97" s="75" t="s">
        <v>356</v>
      </c>
      <c r="BS97" s="75" t="s">
        <v>356</v>
      </c>
      <c r="BT97" s="75" t="s">
        <v>356</v>
      </c>
      <c r="BU97" s="75" t="s">
        <v>356</v>
      </c>
      <c r="BV97" s="75"/>
      <c r="BW97" s="81" t="s">
        <v>332</v>
      </c>
      <c r="BX97" s="81" t="s">
        <v>356</v>
      </c>
      <c r="BY97" s="81" t="s">
        <v>356</v>
      </c>
      <c r="BZ97" s="81" t="s">
        <v>356</v>
      </c>
      <c r="CA97" s="81" t="s">
        <v>356</v>
      </c>
      <c r="CB97" s="81" t="s">
        <v>332</v>
      </c>
      <c r="CC97" s="77"/>
      <c r="CD97" s="77"/>
      <c r="CE97" s="81" t="s">
        <v>356</v>
      </c>
      <c r="CF97" s="77"/>
      <c r="CG97" s="81" t="s">
        <v>356</v>
      </c>
      <c r="CH97" s="77"/>
      <c r="CI97" s="77"/>
      <c r="CJ97" s="81" t="s">
        <v>356</v>
      </c>
      <c r="CK97" s="81" t="s">
        <v>332</v>
      </c>
      <c r="CL97" s="81" t="s">
        <v>356</v>
      </c>
      <c r="CM97" s="81" t="s">
        <v>356</v>
      </c>
      <c r="CN97" s="81" t="s">
        <v>356</v>
      </c>
      <c r="CO97" s="81" t="s">
        <v>332</v>
      </c>
      <c r="CP97" s="81" t="s">
        <v>356</v>
      </c>
      <c r="CQ97" s="81" t="s">
        <v>356</v>
      </c>
      <c r="CR97" s="81" t="s">
        <v>356</v>
      </c>
      <c r="CS97" s="81" t="s">
        <v>356</v>
      </c>
      <c r="CT97" s="81" t="s">
        <v>356</v>
      </c>
      <c r="CU97" s="81"/>
      <c r="CV97" s="75" t="s">
        <v>356</v>
      </c>
      <c r="CW97" s="75" t="s">
        <v>356</v>
      </c>
      <c r="CX97" s="75" t="s">
        <v>356</v>
      </c>
      <c r="CY97" s="75" t="s">
        <v>356</v>
      </c>
      <c r="CZ97" s="75" t="s">
        <v>356</v>
      </c>
      <c r="DA97" s="81"/>
      <c r="DC97" s="75" t="s">
        <v>356</v>
      </c>
      <c r="DD97" s="75" t="s">
        <v>356</v>
      </c>
      <c r="DE97" s="75" t="s">
        <v>356</v>
      </c>
      <c r="DF97" s="75" t="s">
        <v>356</v>
      </c>
      <c r="DJ97" s="75" t="s">
        <v>356</v>
      </c>
      <c r="DK97" s="75" t="s">
        <v>356</v>
      </c>
      <c r="DQ97" s="75" t="s">
        <v>356</v>
      </c>
      <c r="DS97" s="75" t="s">
        <v>356</v>
      </c>
      <c r="DV97" s="75" t="s">
        <v>356</v>
      </c>
      <c r="DW97" s="75" t="s">
        <v>356</v>
      </c>
      <c r="DZ97" s="75" t="s">
        <v>356</v>
      </c>
      <c r="EA97" s="75" t="s">
        <v>356</v>
      </c>
      <c r="EC97" s="75" t="s">
        <v>356</v>
      </c>
      <c r="ED97" s="75" t="s">
        <v>356</v>
      </c>
      <c r="EE97" s="75"/>
      <c r="EG97" s="75" t="s">
        <v>356</v>
      </c>
      <c r="EI97" s="75" t="s">
        <v>356</v>
      </c>
      <c r="EL97" s="75" t="s">
        <v>356</v>
      </c>
      <c r="EM97" s="75" t="s">
        <v>356</v>
      </c>
      <c r="EO97" s="75" t="s">
        <v>356</v>
      </c>
      <c r="EP97" s="75" t="s">
        <v>356</v>
      </c>
      <c r="ES97" s="75" t="s">
        <v>356</v>
      </c>
      <c r="ET97" s="75" t="s">
        <v>356</v>
      </c>
      <c r="EU97" s="75" t="s">
        <v>356</v>
      </c>
      <c r="FA97" s="75" t="s">
        <v>356</v>
      </c>
      <c r="FB97" s="75" t="s">
        <v>356</v>
      </c>
      <c r="FG97" s="81" t="s">
        <v>356</v>
      </c>
      <c r="FH97" s="81" t="s">
        <v>332</v>
      </c>
      <c r="FI97" s="81" t="s">
        <v>356</v>
      </c>
      <c r="FJ97" s="81" t="s">
        <v>356</v>
      </c>
      <c r="FK97" s="81" t="s">
        <v>356</v>
      </c>
      <c r="FM97" s="75" t="s">
        <v>356</v>
      </c>
      <c r="FN97" s="75" t="s">
        <v>356</v>
      </c>
      <c r="FQ97" s="75" t="s">
        <v>356</v>
      </c>
      <c r="FR97" s="75"/>
      <c r="FT97" s="75" t="s">
        <v>356</v>
      </c>
      <c r="FV97" s="75" t="s">
        <v>356</v>
      </c>
      <c r="FZ97" s="75" t="s">
        <v>356</v>
      </c>
      <c r="GB97" s="75" t="s">
        <v>356</v>
      </c>
      <c r="GC97" s="75" t="s">
        <v>356</v>
      </c>
      <c r="GF97" s="75" t="s">
        <v>356</v>
      </c>
      <c r="GH97" s="81" t="s">
        <v>356</v>
      </c>
      <c r="GI97" s="81" t="s">
        <v>332</v>
      </c>
      <c r="GJ97" s="81" t="s">
        <v>356</v>
      </c>
      <c r="GK97" s="81" t="s">
        <v>356</v>
      </c>
      <c r="GL97" s="81" t="s">
        <v>356</v>
      </c>
      <c r="GM97" s="81"/>
      <c r="GO97" s="75" t="s">
        <v>356</v>
      </c>
      <c r="GP97" s="75" t="s">
        <v>356</v>
      </c>
      <c r="GT97" s="75" t="s">
        <v>356</v>
      </c>
      <c r="GX97" s="75" t="s">
        <v>356</v>
      </c>
      <c r="HC97" s="75" t="s">
        <v>356</v>
      </c>
      <c r="HG97" s="75" t="s">
        <v>356</v>
      </c>
      <c r="HH97" s="75" t="s">
        <v>356</v>
      </c>
      <c r="HK97" s="75" t="s">
        <v>356</v>
      </c>
      <c r="HP97" s="75" t="s">
        <v>356</v>
      </c>
      <c r="HQ97" s="75" t="s">
        <v>356</v>
      </c>
      <c r="HV97" s="75" t="s">
        <v>356</v>
      </c>
      <c r="IB97" s="81" t="s">
        <v>356</v>
      </c>
      <c r="IC97" s="81" t="s">
        <v>332</v>
      </c>
      <c r="ID97" s="81" t="s">
        <v>332</v>
      </c>
      <c r="IE97" s="81" t="s">
        <v>332</v>
      </c>
      <c r="IF97" s="81" t="s">
        <v>356</v>
      </c>
      <c r="IG97" s="81" t="s">
        <v>356</v>
      </c>
      <c r="IH97" s="81"/>
      <c r="II97" s="75" t="s">
        <v>356</v>
      </c>
      <c r="IJ97" s="75" t="s">
        <v>356</v>
      </c>
      <c r="IK97" s="75" t="s">
        <v>356</v>
      </c>
      <c r="IL97" s="75" t="s">
        <v>356</v>
      </c>
      <c r="IM97" s="75" t="s">
        <v>356</v>
      </c>
      <c r="IN97" s="81"/>
      <c r="IT97" s="75" t="s">
        <v>356</v>
      </c>
      <c r="IY97" s="75" t="s">
        <v>356</v>
      </c>
      <c r="JC97" s="81" t="s">
        <v>356</v>
      </c>
      <c r="JE97" s="81" t="s">
        <v>356</v>
      </c>
      <c r="JF97" s="81" t="s">
        <v>332</v>
      </c>
      <c r="JG97" s="81" t="s">
        <v>332</v>
      </c>
      <c r="JH97" s="81" t="s">
        <v>332</v>
      </c>
      <c r="JI97" s="81" t="s">
        <v>332</v>
      </c>
      <c r="JJ97" s="81" t="s">
        <v>356</v>
      </c>
      <c r="JK97" s="81" t="s">
        <v>356</v>
      </c>
      <c r="JL97" s="81"/>
      <c r="JM97" s="81"/>
      <c r="JN97" s="75" t="s">
        <v>356</v>
      </c>
      <c r="JO97" s="81"/>
      <c r="JP97" s="81"/>
      <c r="JR97" s="75" t="s">
        <v>356</v>
      </c>
      <c r="JS97" s="75" t="s">
        <v>356</v>
      </c>
      <c r="JT97" s="75" t="s">
        <v>356</v>
      </c>
    </row>
    <row r="98" spans="1:280" x14ac:dyDescent="0.15">
      <c r="A98" s="214" t="s">
        <v>510</v>
      </c>
      <c r="B98" s="6" t="s">
        <v>488</v>
      </c>
      <c r="C98" s="6">
        <v>75000</v>
      </c>
      <c r="D98" s="6">
        <v>2</v>
      </c>
      <c r="E98" s="6">
        <v>7</v>
      </c>
      <c r="F98" s="6">
        <v>3</v>
      </c>
      <c r="G98" s="6" t="s">
        <v>36</v>
      </c>
      <c r="H98" s="6" t="s">
        <v>37</v>
      </c>
      <c r="I98" s="6" t="s">
        <v>38</v>
      </c>
      <c r="J98" s="21" t="s">
        <v>134</v>
      </c>
      <c r="K98" s="21">
        <v>1</v>
      </c>
      <c r="L98" s="21">
        <v>1</v>
      </c>
      <c r="M98" s="21">
        <v>2</v>
      </c>
      <c r="N98" s="21">
        <v>2</v>
      </c>
      <c r="O98" s="21">
        <v>0</v>
      </c>
      <c r="P98" s="21" t="str">
        <f>IF(TeamT[[#This Row],[General]]+TeamT[[#This Row],[Agility]]+TeamT[[#This Row],[Strength]]+TeamT[[#This Row],[Passing]]+TeamT[[#This Row],[Mutation]]&gt;0,IF(TeamT[[#This Row],[General]]=1,"G","")&amp;IF(TeamT[[#This Row],[Agility]]=1,"A","")&amp;IF(TeamT[[#This Row],[Strength]]=1,"S","")&amp;IF(TeamT[[#This Row],[Passing]]=1,"P","")&amp;IF(TeamT[[#This Row],[Mutation]]=1,"M",""),"Star")</f>
        <v>GA</v>
      </c>
      <c r="Q98" s="21" t="str">
        <f>IF(TeamT[[#This Row],[General]]=2,"G","")&amp;IF(TeamT[[#This Row],[Agility]]=2,"A","")&amp;IF(TeamT[[#This Row],[Strength]]=2,"S","")&amp;IF(TeamT[[#This Row],[Passing]]=2,"P","")&amp;IF(TeamT[[#This Row],[Mutation]]=2,"M","")</f>
        <v>SP</v>
      </c>
      <c r="R98" s="212"/>
      <c r="S98" s="21">
        <v>3</v>
      </c>
      <c r="T98" s="21">
        <v>4</v>
      </c>
      <c r="U98" s="21">
        <v>8</v>
      </c>
      <c r="AA98" s="76" t="e">
        <f>HLOOKUP(Roster!$E$5,Team!$BL$2:$MK$128,97,FALSE)</f>
        <v>#N/A</v>
      </c>
      <c r="AB98" s="76" t="e">
        <f>HLOOKUP(Roster!$E$6,Team!$BL$2:$MK$128,97,FALSE)</f>
        <v>#N/A</v>
      </c>
      <c r="AC98" s="76" t="e">
        <f>HLOOKUP(Roster!$E$7,Team!$BL$2:$MK$128,97,FALSE)</f>
        <v>#N/A</v>
      </c>
      <c r="AD98" s="76" t="e">
        <f>HLOOKUP(Roster!$E$8,Team!$BL$2:$MK$128,97,FALSE)</f>
        <v>#N/A</v>
      </c>
      <c r="AE98" s="76" t="e">
        <f>HLOOKUP(Roster!$E$9,Team!$BL$2:$MK$128,97,FALSE)</f>
        <v>#N/A</v>
      </c>
      <c r="AF98" s="76" t="e">
        <f>HLOOKUP(Roster!$E$10,Team!$BL$2:$MK$128,97,FALSE)</f>
        <v>#N/A</v>
      </c>
      <c r="AG98" s="76" t="e">
        <f>HLOOKUP(Roster!$E$11,Team!$BL$2:$MK$128,97,FALSE)</f>
        <v>#N/A</v>
      </c>
      <c r="AH98" s="76" t="e">
        <f>HLOOKUP(Roster!$E$12,Team!$BL$2:$MK$128,97,FALSE)</f>
        <v>#N/A</v>
      </c>
      <c r="AI98" s="76" t="e">
        <f>HLOOKUP(Roster!$E$13,Team!$BL$2:$MK$128,97,FALSE)</f>
        <v>#N/A</v>
      </c>
      <c r="AJ98" s="76" t="e">
        <f>HLOOKUP(Roster!$E$14,Team!$BL$2:$MK$128,97,FALSE)</f>
        <v>#N/A</v>
      </c>
      <c r="AK98" s="76" t="e">
        <f>HLOOKUP(Roster!$E$15,Team!$BL$2:$MK$128,97,FALSE)</f>
        <v>#N/A</v>
      </c>
      <c r="AL98" s="76" t="e">
        <f>HLOOKUP(Roster!$E$16,Team!$BL$2:$MK$128,97,FALSE)</f>
        <v>#N/A</v>
      </c>
      <c r="AM98" s="76" t="e">
        <f>HLOOKUP(Roster!$E$17,Team!$BL$2:$MK$128,97,FALSE)</f>
        <v>#N/A</v>
      </c>
      <c r="AN98" s="76" t="e">
        <f>HLOOKUP(Roster!$E$18,Team!$BL$2:$MK$128,97,FALSE)</f>
        <v>#N/A</v>
      </c>
      <c r="AO98" s="76" t="e">
        <f>HLOOKUP(Roster!$E$19,Team!$BL$2:$MK$128,97,FALSE)</f>
        <v>#N/A</v>
      </c>
      <c r="AP98" s="76" t="e">
        <f>HLOOKUP(Roster!$E$20,Team!$BL$2:$MK$128,97,FALSE)</f>
        <v>#N/A</v>
      </c>
      <c r="AR98" s="108">
        <f t="shared" si="17"/>
        <v>0</v>
      </c>
      <c r="AS98" s="108">
        <f t="shared" si="18"/>
        <v>0</v>
      </c>
      <c r="AT98" s="108">
        <f t="shared" si="19"/>
        <v>0</v>
      </c>
      <c r="AU98" s="108">
        <f t="shared" si="20"/>
        <v>0</v>
      </c>
      <c r="AV98" s="108">
        <f t="shared" si="21"/>
        <v>0</v>
      </c>
      <c r="AW98" s="108">
        <f t="shared" si="22"/>
        <v>0</v>
      </c>
      <c r="AX98" s="108">
        <f t="shared" si="23"/>
        <v>0</v>
      </c>
      <c r="AY98" s="108">
        <f t="shared" si="24"/>
        <v>0</v>
      </c>
      <c r="AZ98" s="108">
        <f t="shared" si="25"/>
        <v>0</v>
      </c>
      <c r="BA98" s="108">
        <f t="shared" si="26"/>
        <v>0</v>
      </c>
      <c r="BB98" s="108">
        <f t="shared" si="27"/>
        <v>0</v>
      </c>
      <c r="BC98" s="108">
        <f t="shared" si="28"/>
        <v>0</v>
      </c>
      <c r="BD98" s="108">
        <f t="shared" si="29"/>
        <v>0</v>
      </c>
      <c r="BE98" s="108">
        <f t="shared" si="30"/>
        <v>0</v>
      </c>
      <c r="BF98" s="108">
        <f t="shared" si="31"/>
        <v>0</v>
      </c>
      <c r="BG98" s="108">
        <f t="shared" si="32"/>
        <v>0</v>
      </c>
      <c r="BM98" s="75" t="s">
        <v>357</v>
      </c>
      <c r="BN98" s="75"/>
      <c r="BO98" s="75"/>
      <c r="BP98" s="75"/>
      <c r="BQ98" s="75"/>
      <c r="BR98" s="75" t="s">
        <v>357</v>
      </c>
      <c r="BS98" s="75" t="s">
        <v>357</v>
      </c>
      <c r="BT98" s="75" t="s">
        <v>357</v>
      </c>
      <c r="BU98" s="75" t="s">
        <v>357</v>
      </c>
      <c r="BV98" s="75"/>
      <c r="BW98" s="81" t="s">
        <v>333</v>
      </c>
      <c r="BX98" s="81" t="s">
        <v>357</v>
      </c>
      <c r="BY98" s="81" t="s">
        <v>357</v>
      </c>
      <c r="BZ98" s="81" t="s">
        <v>357</v>
      </c>
      <c r="CA98" s="81" t="s">
        <v>357</v>
      </c>
      <c r="CB98" s="81" t="s">
        <v>333</v>
      </c>
      <c r="CC98" s="77"/>
      <c r="CD98" s="77"/>
      <c r="CE98" s="81" t="s">
        <v>357</v>
      </c>
      <c r="CF98" s="77"/>
      <c r="CG98" s="81" t="s">
        <v>357</v>
      </c>
      <c r="CH98" s="77"/>
      <c r="CI98" s="77"/>
      <c r="CJ98" s="81" t="s">
        <v>357</v>
      </c>
      <c r="CK98" s="81" t="s">
        <v>333</v>
      </c>
      <c r="CL98" s="81" t="s">
        <v>357</v>
      </c>
      <c r="CM98" s="81" t="s">
        <v>357</v>
      </c>
      <c r="CN98" s="81" t="s">
        <v>357</v>
      </c>
      <c r="CO98" s="81" t="s">
        <v>333</v>
      </c>
      <c r="CP98" s="81" t="s">
        <v>357</v>
      </c>
      <c r="CQ98" s="81" t="s">
        <v>357</v>
      </c>
      <c r="CR98" s="81" t="s">
        <v>357</v>
      </c>
      <c r="CS98" s="81" t="s">
        <v>357</v>
      </c>
      <c r="CT98" s="81" t="s">
        <v>357</v>
      </c>
      <c r="CU98" s="81"/>
      <c r="CV98" s="75" t="s">
        <v>357</v>
      </c>
      <c r="CW98" s="75" t="s">
        <v>357</v>
      </c>
      <c r="CX98" s="75" t="s">
        <v>357</v>
      </c>
      <c r="CY98" s="75" t="s">
        <v>357</v>
      </c>
      <c r="CZ98" s="75" t="s">
        <v>357</v>
      </c>
      <c r="DA98" s="81"/>
      <c r="DC98" s="75" t="s">
        <v>357</v>
      </c>
      <c r="DD98" s="75" t="s">
        <v>357</v>
      </c>
      <c r="DE98" s="75" t="s">
        <v>357</v>
      </c>
      <c r="DF98" s="75" t="s">
        <v>357</v>
      </c>
      <c r="DJ98" s="75" t="s">
        <v>357</v>
      </c>
      <c r="DK98" s="75" t="s">
        <v>357</v>
      </c>
      <c r="DQ98" s="75" t="s">
        <v>357</v>
      </c>
      <c r="DS98" s="75" t="s">
        <v>357</v>
      </c>
      <c r="DV98" s="75" t="s">
        <v>357</v>
      </c>
      <c r="DW98" s="75" t="s">
        <v>357</v>
      </c>
      <c r="DZ98" s="75" t="s">
        <v>357</v>
      </c>
      <c r="EA98" s="75" t="s">
        <v>357</v>
      </c>
      <c r="EC98" s="75" t="s">
        <v>357</v>
      </c>
      <c r="ED98" s="75" t="s">
        <v>357</v>
      </c>
      <c r="EE98" s="75"/>
      <c r="EG98" s="75" t="s">
        <v>357</v>
      </c>
      <c r="EI98" s="75" t="s">
        <v>357</v>
      </c>
      <c r="EL98" s="75" t="s">
        <v>357</v>
      </c>
      <c r="EM98" s="75" t="s">
        <v>357</v>
      </c>
      <c r="EO98" s="75" t="s">
        <v>357</v>
      </c>
      <c r="EP98" s="75" t="s">
        <v>357</v>
      </c>
      <c r="ES98" s="75" t="s">
        <v>357</v>
      </c>
      <c r="ET98" s="75" t="s">
        <v>357</v>
      </c>
      <c r="EU98" s="75" t="s">
        <v>357</v>
      </c>
      <c r="FA98" s="75" t="s">
        <v>357</v>
      </c>
      <c r="FB98" s="75" t="s">
        <v>357</v>
      </c>
      <c r="FG98" s="81" t="s">
        <v>357</v>
      </c>
      <c r="FH98" s="81" t="s">
        <v>333</v>
      </c>
      <c r="FI98" s="81" t="s">
        <v>357</v>
      </c>
      <c r="FJ98" s="81" t="s">
        <v>357</v>
      </c>
      <c r="FK98" s="81" t="s">
        <v>357</v>
      </c>
      <c r="FM98" s="75" t="s">
        <v>357</v>
      </c>
      <c r="FN98" s="75" t="s">
        <v>357</v>
      </c>
      <c r="FQ98" s="75" t="s">
        <v>357</v>
      </c>
      <c r="FR98" s="75"/>
      <c r="FT98" s="75" t="s">
        <v>357</v>
      </c>
      <c r="FV98" s="75" t="s">
        <v>357</v>
      </c>
      <c r="FZ98" s="75" t="s">
        <v>357</v>
      </c>
      <c r="GB98" s="75" t="s">
        <v>357</v>
      </c>
      <c r="GC98" s="75" t="s">
        <v>357</v>
      </c>
      <c r="GF98" s="75" t="s">
        <v>357</v>
      </c>
      <c r="GH98" s="81" t="s">
        <v>357</v>
      </c>
      <c r="GI98" s="81" t="s">
        <v>333</v>
      </c>
      <c r="GJ98" s="81" t="s">
        <v>357</v>
      </c>
      <c r="GK98" s="81" t="s">
        <v>357</v>
      </c>
      <c r="GL98" s="81" t="s">
        <v>357</v>
      </c>
      <c r="GM98" s="81"/>
      <c r="GO98" s="75" t="s">
        <v>357</v>
      </c>
      <c r="GP98" s="75" t="s">
        <v>357</v>
      </c>
      <c r="GT98" s="75" t="s">
        <v>357</v>
      </c>
      <c r="GX98" s="75" t="s">
        <v>357</v>
      </c>
      <c r="HC98" s="75" t="s">
        <v>357</v>
      </c>
      <c r="HG98" s="75" t="s">
        <v>357</v>
      </c>
      <c r="HH98" s="75" t="s">
        <v>357</v>
      </c>
      <c r="HK98" s="75" t="s">
        <v>357</v>
      </c>
      <c r="HP98" s="75" t="s">
        <v>357</v>
      </c>
      <c r="HQ98" s="75" t="s">
        <v>357</v>
      </c>
      <c r="HV98" s="75" t="s">
        <v>357</v>
      </c>
      <c r="IB98" s="81" t="s">
        <v>357</v>
      </c>
      <c r="IC98" s="81" t="s">
        <v>333</v>
      </c>
      <c r="ID98" s="81" t="s">
        <v>333</v>
      </c>
      <c r="IE98" s="81" t="s">
        <v>333</v>
      </c>
      <c r="IF98" s="81" t="s">
        <v>357</v>
      </c>
      <c r="IG98" s="81" t="s">
        <v>357</v>
      </c>
      <c r="IH98" s="81"/>
      <c r="II98" s="75" t="s">
        <v>357</v>
      </c>
      <c r="IJ98" s="75" t="s">
        <v>357</v>
      </c>
      <c r="IK98" s="75" t="s">
        <v>357</v>
      </c>
      <c r="IL98" s="75" t="s">
        <v>357</v>
      </c>
      <c r="IM98" s="75" t="s">
        <v>357</v>
      </c>
      <c r="IN98" s="81"/>
      <c r="IT98" s="75" t="s">
        <v>357</v>
      </c>
      <c r="IY98" s="75" t="s">
        <v>357</v>
      </c>
      <c r="JC98" s="81" t="s">
        <v>357</v>
      </c>
      <c r="JE98" s="81" t="s">
        <v>357</v>
      </c>
      <c r="JF98" s="81" t="s">
        <v>333</v>
      </c>
      <c r="JG98" s="81" t="s">
        <v>333</v>
      </c>
      <c r="JH98" s="81" t="s">
        <v>333</v>
      </c>
      <c r="JI98" s="81" t="s">
        <v>333</v>
      </c>
      <c r="JJ98" s="81" t="s">
        <v>357</v>
      </c>
      <c r="JK98" s="81" t="s">
        <v>357</v>
      </c>
      <c r="JL98" s="81"/>
      <c r="JM98" s="81"/>
      <c r="JN98" s="75" t="s">
        <v>357</v>
      </c>
      <c r="JO98" s="81"/>
      <c r="JP98" s="81"/>
      <c r="JR98" s="75" t="s">
        <v>357</v>
      </c>
      <c r="JS98" s="75" t="s">
        <v>357</v>
      </c>
      <c r="JT98" s="75" t="s">
        <v>357</v>
      </c>
    </row>
    <row r="99" spans="1:280" x14ac:dyDescent="0.15">
      <c r="A99" s="214" t="s">
        <v>131</v>
      </c>
      <c r="B99" s="6" t="s">
        <v>488</v>
      </c>
      <c r="C99" s="6">
        <v>95000</v>
      </c>
      <c r="D99" s="6">
        <v>2</v>
      </c>
      <c r="E99" s="6">
        <v>6</v>
      </c>
      <c r="F99" s="6">
        <v>3</v>
      </c>
      <c r="G99" s="6" t="s">
        <v>36</v>
      </c>
      <c r="H99" s="6" t="s">
        <v>53</v>
      </c>
      <c r="I99" s="6" t="s">
        <v>46</v>
      </c>
      <c r="J99" s="21" t="s">
        <v>135</v>
      </c>
      <c r="K99" s="21">
        <v>1</v>
      </c>
      <c r="L99" s="21">
        <v>2</v>
      </c>
      <c r="M99" s="21">
        <v>1</v>
      </c>
      <c r="N99" s="21">
        <v>0</v>
      </c>
      <c r="O99" s="21">
        <v>0</v>
      </c>
      <c r="P99" s="21" t="str">
        <f>IF(TeamT[[#This Row],[General]]+TeamT[[#This Row],[Agility]]+TeamT[[#This Row],[Strength]]+TeamT[[#This Row],[Passing]]+TeamT[[#This Row],[Mutation]]&gt;0,IF(TeamT[[#This Row],[General]]=1,"G","")&amp;IF(TeamT[[#This Row],[Agility]]=1,"A","")&amp;IF(TeamT[[#This Row],[Strength]]=1,"S","")&amp;IF(TeamT[[#This Row],[Passing]]=1,"P","")&amp;IF(TeamT[[#This Row],[Mutation]]=1,"M",""),"Star")</f>
        <v>GS</v>
      </c>
      <c r="Q99" s="21" t="str">
        <f>IF(TeamT[[#This Row],[General]]=2,"G","")&amp;IF(TeamT[[#This Row],[Agility]]=2,"A","")&amp;IF(TeamT[[#This Row],[Strength]]=2,"S","")&amp;IF(TeamT[[#This Row],[Passing]]=2,"P","")&amp;IF(TeamT[[#This Row],[Mutation]]=2,"M","")</f>
        <v>A</v>
      </c>
      <c r="R99" s="212"/>
      <c r="S99" s="21">
        <v>3</v>
      </c>
      <c r="T99" s="21" t="s">
        <v>53</v>
      </c>
      <c r="U99" s="21">
        <v>9</v>
      </c>
      <c r="AA99" s="76" t="e">
        <f>HLOOKUP(Roster!$E$5,Team!$BL$2:$MK$128,98,FALSE)</f>
        <v>#N/A</v>
      </c>
      <c r="AB99" s="76" t="e">
        <f>HLOOKUP(Roster!$E$6,Team!$BL$2:$MK$128,98,FALSE)</f>
        <v>#N/A</v>
      </c>
      <c r="AC99" s="76" t="e">
        <f>HLOOKUP(Roster!$E$7,Team!$BL$2:$MK$128,98,FALSE)</f>
        <v>#N/A</v>
      </c>
      <c r="AD99" s="76" t="e">
        <f>HLOOKUP(Roster!$E$8,Team!$BL$2:$MK$128,98,FALSE)</f>
        <v>#N/A</v>
      </c>
      <c r="AE99" s="76" t="e">
        <f>HLOOKUP(Roster!$E$9,Team!$BL$2:$MK$128,98,FALSE)</f>
        <v>#N/A</v>
      </c>
      <c r="AF99" s="76" t="e">
        <f>HLOOKUP(Roster!$E$10,Team!$BL$2:$MK$128,98,FALSE)</f>
        <v>#N/A</v>
      </c>
      <c r="AG99" s="76" t="e">
        <f>HLOOKUP(Roster!$E$11,Team!$BL$2:$MK$128,98,FALSE)</f>
        <v>#N/A</v>
      </c>
      <c r="AH99" s="76" t="e">
        <f>HLOOKUP(Roster!$E$12,Team!$BL$2:$MK$128,98,FALSE)</f>
        <v>#N/A</v>
      </c>
      <c r="AI99" s="76" t="e">
        <f>HLOOKUP(Roster!$E$13,Team!$BL$2:$MK$128,98,FALSE)</f>
        <v>#N/A</v>
      </c>
      <c r="AJ99" s="76" t="e">
        <f>HLOOKUP(Roster!$E$14,Team!$BL$2:$MK$128,98,FALSE)</f>
        <v>#N/A</v>
      </c>
      <c r="AK99" s="76" t="e">
        <f>HLOOKUP(Roster!$E$15,Team!$BL$2:$MK$128,98,FALSE)</f>
        <v>#N/A</v>
      </c>
      <c r="AL99" s="76" t="e">
        <f>HLOOKUP(Roster!$E$16,Team!$BL$2:$MK$128,98,FALSE)</f>
        <v>#N/A</v>
      </c>
      <c r="AM99" s="76" t="e">
        <f>HLOOKUP(Roster!$E$17,Team!$BL$2:$MK$128,98,FALSE)</f>
        <v>#N/A</v>
      </c>
      <c r="AN99" s="76" t="e">
        <f>HLOOKUP(Roster!$E$18,Team!$BL$2:$MK$128,98,FALSE)</f>
        <v>#N/A</v>
      </c>
      <c r="AO99" s="76" t="e">
        <f>HLOOKUP(Roster!$E$19,Team!$BL$2:$MK$128,98,FALSE)</f>
        <v>#N/A</v>
      </c>
      <c r="AP99" s="76" t="e">
        <f>HLOOKUP(Roster!$E$20,Team!$BL$2:$MK$128,98,FALSE)</f>
        <v>#N/A</v>
      </c>
      <c r="AR99" s="108">
        <f t="shared" si="17"/>
        <v>0</v>
      </c>
      <c r="AS99" s="108">
        <f t="shared" si="18"/>
        <v>0</v>
      </c>
      <c r="AT99" s="108">
        <f t="shared" si="19"/>
        <v>0</v>
      </c>
      <c r="AU99" s="108">
        <f t="shared" si="20"/>
        <v>0</v>
      </c>
      <c r="AV99" s="108">
        <f t="shared" si="21"/>
        <v>0</v>
      </c>
      <c r="AW99" s="108">
        <f t="shared" si="22"/>
        <v>0</v>
      </c>
      <c r="AX99" s="108">
        <f t="shared" si="23"/>
        <v>0</v>
      </c>
      <c r="AY99" s="108">
        <f t="shared" si="24"/>
        <v>0</v>
      </c>
      <c r="AZ99" s="108">
        <f t="shared" si="25"/>
        <v>0</v>
      </c>
      <c r="BA99" s="108">
        <f t="shared" si="26"/>
        <v>0</v>
      </c>
      <c r="BB99" s="108">
        <f t="shared" si="27"/>
        <v>0</v>
      </c>
      <c r="BC99" s="108">
        <f t="shared" si="28"/>
        <v>0</v>
      </c>
      <c r="BD99" s="108">
        <f t="shared" si="29"/>
        <v>0</v>
      </c>
      <c r="BE99" s="108">
        <f t="shared" si="30"/>
        <v>0</v>
      </c>
      <c r="BF99" s="108">
        <f t="shared" si="31"/>
        <v>0</v>
      </c>
      <c r="BG99" s="108">
        <f t="shared" si="32"/>
        <v>0</v>
      </c>
      <c r="BL99" s="75"/>
      <c r="BM99" s="75" t="s">
        <v>358</v>
      </c>
      <c r="BN99" s="75"/>
      <c r="BO99" s="75"/>
      <c r="BP99" s="75"/>
      <c r="BQ99" s="75"/>
      <c r="BR99" s="75" t="s">
        <v>358</v>
      </c>
      <c r="BS99" s="75" t="s">
        <v>358</v>
      </c>
      <c r="BT99" s="75" t="s">
        <v>358</v>
      </c>
      <c r="BU99" s="75" t="s">
        <v>358</v>
      </c>
      <c r="BV99" s="75"/>
      <c r="BW99" s="81" t="s">
        <v>334</v>
      </c>
      <c r="BX99" s="81" t="s">
        <v>358</v>
      </c>
      <c r="BY99" s="81" t="s">
        <v>358</v>
      </c>
      <c r="BZ99" s="81" t="s">
        <v>358</v>
      </c>
      <c r="CA99" s="81" t="s">
        <v>358</v>
      </c>
      <c r="CB99" s="81" t="s">
        <v>334</v>
      </c>
      <c r="CC99" s="77"/>
      <c r="CD99" s="77"/>
      <c r="CE99" s="81" t="s">
        <v>358</v>
      </c>
      <c r="CF99" s="77"/>
      <c r="CG99" s="81" t="s">
        <v>358</v>
      </c>
      <c r="CH99" s="77"/>
      <c r="CI99" s="77"/>
      <c r="CJ99" s="81" t="s">
        <v>358</v>
      </c>
      <c r="CK99" s="81" t="s">
        <v>334</v>
      </c>
      <c r="CL99" s="81" t="s">
        <v>358</v>
      </c>
      <c r="CM99" s="81" t="s">
        <v>358</v>
      </c>
      <c r="CN99" s="81" t="s">
        <v>358</v>
      </c>
      <c r="CO99" s="81" t="s">
        <v>334</v>
      </c>
      <c r="CP99" s="81" t="s">
        <v>358</v>
      </c>
      <c r="CQ99" s="81" t="s">
        <v>358</v>
      </c>
      <c r="CR99" s="81" t="s">
        <v>358</v>
      </c>
      <c r="CS99" s="81" t="s">
        <v>358</v>
      </c>
      <c r="CT99" s="81" t="s">
        <v>358</v>
      </c>
      <c r="CU99" s="81"/>
      <c r="CV99" s="75" t="s">
        <v>358</v>
      </c>
      <c r="CW99" s="75" t="s">
        <v>358</v>
      </c>
      <c r="CX99" s="75" t="s">
        <v>358</v>
      </c>
      <c r="CY99" s="75" t="s">
        <v>358</v>
      </c>
      <c r="CZ99" s="75" t="s">
        <v>358</v>
      </c>
      <c r="DA99" s="81"/>
      <c r="DC99" s="75" t="s">
        <v>358</v>
      </c>
      <c r="DD99" s="75" t="s">
        <v>358</v>
      </c>
      <c r="DE99" s="75" t="s">
        <v>358</v>
      </c>
      <c r="DF99" s="75" t="s">
        <v>358</v>
      </c>
      <c r="DJ99" s="75" t="s">
        <v>358</v>
      </c>
      <c r="DK99" s="75" t="s">
        <v>358</v>
      </c>
      <c r="DQ99" s="75" t="s">
        <v>358</v>
      </c>
      <c r="DS99" s="75" t="s">
        <v>358</v>
      </c>
      <c r="DV99" s="75" t="s">
        <v>358</v>
      </c>
      <c r="DW99" s="75" t="s">
        <v>358</v>
      </c>
      <c r="DZ99" s="75" t="s">
        <v>358</v>
      </c>
      <c r="EA99" s="75" t="s">
        <v>358</v>
      </c>
      <c r="EC99" s="75" t="s">
        <v>358</v>
      </c>
      <c r="ED99" s="75" t="s">
        <v>358</v>
      </c>
      <c r="EE99" s="75"/>
      <c r="EG99" s="75" t="s">
        <v>358</v>
      </c>
      <c r="EI99" s="75" t="s">
        <v>358</v>
      </c>
      <c r="EL99" s="75" t="s">
        <v>358</v>
      </c>
      <c r="EM99" s="75" t="s">
        <v>358</v>
      </c>
      <c r="EO99" s="75" t="s">
        <v>358</v>
      </c>
      <c r="EP99" s="75" t="s">
        <v>358</v>
      </c>
      <c r="ES99" s="75" t="s">
        <v>358</v>
      </c>
      <c r="ET99" s="75" t="s">
        <v>358</v>
      </c>
      <c r="EU99" s="75" t="s">
        <v>358</v>
      </c>
      <c r="FA99" s="75" t="s">
        <v>358</v>
      </c>
      <c r="FB99" s="75" t="s">
        <v>358</v>
      </c>
      <c r="FG99" s="81" t="s">
        <v>358</v>
      </c>
      <c r="FH99" s="81" t="s">
        <v>334</v>
      </c>
      <c r="FI99" s="81" t="s">
        <v>358</v>
      </c>
      <c r="FJ99" s="81" t="s">
        <v>358</v>
      </c>
      <c r="FK99" s="81" t="s">
        <v>358</v>
      </c>
      <c r="FM99" s="75" t="s">
        <v>358</v>
      </c>
      <c r="FN99" s="75" t="s">
        <v>358</v>
      </c>
      <c r="FQ99" s="75" t="s">
        <v>358</v>
      </c>
      <c r="FR99" s="75"/>
      <c r="FT99" s="75" t="s">
        <v>358</v>
      </c>
      <c r="FV99" s="75" t="s">
        <v>358</v>
      </c>
      <c r="FZ99" s="75" t="s">
        <v>358</v>
      </c>
      <c r="GB99" s="75" t="s">
        <v>358</v>
      </c>
      <c r="GC99" s="75" t="s">
        <v>358</v>
      </c>
      <c r="GF99" s="75" t="s">
        <v>358</v>
      </c>
      <c r="GH99" s="81" t="s">
        <v>358</v>
      </c>
      <c r="GI99" s="81" t="s">
        <v>334</v>
      </c>
      <c r="GJ99" s="81" t="s">
        <v>358</v>
      </c>
      <c r="GK99" s="81" t="s">
        <v>358</v>
      </c>
      <c r="GL99" s="81" t="s">
        <v>358</v>
      </c>
      <c r="GM99" s="81"/>
      <c r="GO99" s="75" t="s">
        <v>358</v>
      </c>
      <c r="GP99" s="75" t="s">
        <v>358</v>
      </c>
      <c r="GT99" s="75" t="s">
        <v>358</v>
      </c>
      <c r="GX99" s="75" t="s">
        <v>358</v>
      </c>
      <c r="HC99" s="75" t="s">
        <v>358</v>
      </c>
      <c r="HG99" s="75" t="s">
        <v>358</v>
      </c>
      <c r="HH99" s="75" t="s">
        <v>358</v>
      </c>
      <c r="HK99" s="75" t="s">
        <v>358</v>
      </c>
      <c r="HP99" s="75" t="s">
        <v>358</v>
      </c>
      <c r="HQ99" s="75" t="s">
        <v>358</v>
      </c>
      <c r="HV99" s="75" t="s">
        <v>358</v>
      </c>
      <c r="IB99" s="81" t="s">
        <v>358</v>
      </c>
      <c r="IC99" s="81" t="s">
        <v>334</v>
      </c>
      <c r="ID99" s="81" t="s">
        <v>334</v>
      </c>
      <c r="IE99" s="81" t="s">
        <v>334</v>
      </c>
      <c r="IF99" s="81" t="s">
        <v>358</v>
      </c>
      <c r="IG99" s="81" t="s">
        <v>358</v>
      </c>
      <c r="IH99" s="81"/>
      <c r="II99" s="75" t="s">
        <v>358</v>
      </c>
      <c r="IJ99" s="75" t="s">
        <v>358</v>
      </c>
      <c r="IK99" s="75" t="s">
        <v>358</v>
      </c>
      <c r="IL99" s="75" t="s">
        <v>358</v>
      </c>
      <c r="IM99" s="75" t="s">
        <v>358</v>
      </c>
      <c r="IN99" s="81"/>
      <c r="IT99" s="75" t="s">
        <v>358</v>
      </c>
      <c r="IY99" s="75" t="s">
        <v>358</v>
      </c>
      <c r="JC99" s="81" t="s">
        <v>358</v>
      </c>
      <c r="JE99" s="81" t="s">
        <v>358</v>
      </c>
      <c r="JF99" s="81" t="s">
        <v>334</v>
      </c>
      <c r="JG99" s="81" t="s">
        <v>334</v>
      </c>
      <c r="JH99" s="81" t="s">
        <v>334</v>
      </c>
      <c r="JI99" s="81" t="s">
        <v>334</v>
      </c>
      <c r="JJ99" s="81" t="s">
        <v>358</v>
      </c>
      <c r="JK99" s="81" t="s">
        <v>358</v>
      </c>
      <c r="JL99" s="81"/>
      <c r="JM99" s="81"/>
      <c r="JN99" s="75" t="s">
        <v>358</v>
      </c>
      <c r="JO99" s="81"/>
      <c r="JP99" s="81"/>
      <c r="JR99" s="75" t="s">
        <v>358</v>
      </c>
      <c r="JS99" s="75" t="s">
        <v>358</v>
      </c>
      <c r="JT99" s="75" t="s">
        <v>358</v>
      </c>
    </row>
    <row r="100" spans="1:280" x14ac:dyDescent="0.15">
      <c r="A100" s="214" t="s">
        <v>132</v>
      </c>
      <c r="B100" s="6" t="s">
        <v>488</v>
      </c>
      <c r="C100" s="6">
        <v>125000</v>
      </c>
      <c r="D100" s="6">
        <v>2</v>
      </c>
      <c r="E100" s="6">
        <v>8</v>
      </c>
      <c r="F100" s="6">
        <v>3</v>
      </c>
      <c r="G100" s="6" t="s">
        <v>36</v>
      </c>
      <c r="H100" s="6" t="s">
        <v>37</v>
      </c>
      <c r="I100" s="6" t="s">
        <v>46</v>
      </c>
      <c r="J100" s="21" t="s">
        <v>136</v>
      </c>
      <c r="K100" s="21">
        <v>1</v>
      </c>
      <c r="L100" s="21">
        <v>1</v>
      </c>
      <c r="M100" s="21">
        <v>2</v>
      </c>
      <c r="N100" s="21">
        <v>2</v>
      </c>
      <c r="O100" s="21">
        <v>0</v>
      </c>
      <c r="P100" s="21" t="str">
        <f>IF(TeamT[[#This Row],[General]]+TeamT[[#This Row],[Agility]]+TeamT[[#This Row],[Strength]]+TeamT[[#This Row],[Passing]]+TeamT[[#This Row],[Mutation]]&gt;0,IF(TeamT[[#This Row],[General]]=1,"G","")&amp;IF(TeamT[[#This Row],[Agility]]=1,"A","")&amp;IF(TeamT[[#This Row],[Strength]]=1,"S","")&amp;IF(TeamT[[#This Row],[Passing]]=1,"P","")&amp;IF(TeamT[[#This Row],[Mutation]]=1,"M",""),"Star")</f>
        <v>GA</v>
      </c>
      <c r="Q100" s="21" t="str">
        <f>IF(TeamT[[#This Row],[General]]=2,"G","")&amp;IF(TeamT[[#This Row],[Agility]]=2,"A","")&amp;IF(TeamT[[#This Row],[Strength]]=2,"S","")&amp;IF(TeamT[[#This Row],[Passing]]=2,"P","")&amp;IF(TeamT[[#This Row],[Mutation]]=2,"M","")</f>
        <v>SP</v>
      </c>
      <c r="R100" s="212"/>
      <c r="S100" s="21">
        <v>3</v>
      </c>
      <c r="T100" s="21">
        <v>4</v>
      </c>
      <c r="U100" s="21">
        <v>9</v>
      </c>
      <c r="AA100" s="76" t="e">
        <f>HLOOKUP(Roster!$E$5,Team!$BL$2:$MK$128,99,FALSE)</f>
        <v>#N/A</v>
      </c>
      <c r="AB100" s="76" t="e">
        <f>HLOOKUP(Roster!$E$6,Team!$BL$2:$MK$128,99,FALSE)</f>
        <v>#N/A</v>
      </c>
      <c r="AC100" s="76" t="e">
        <f>HLOOKUP(Roster!$E$7,Team!$BL$2:$MK$128,99,FALSE)</f>
        <v>#N/A</v>
      </c>
      <c r="AD100" s="76" t="e">
        <f>HLOOKUP(Roster!$E$8,Team!$BL$2:$MK$128,99,FALSE)</f>
        <v>#N/A</v>
      </c>
      <c r="AE100" s="76" t="e">
        <f>HLOOKUP(Roster!$E$9,Team!$BL$2:$MK$128,99,FALSE)</f>
        <v>#N/A</v>
      </c>
      <c r="AF100" s="76" t="e">
        <f>HLOOKUP(Roster!$E$10,Team!$BL$2:$MK$128,99,FALSE)</f>
        <v>#N/A</v>
      </c>
      <c r="AG100" s="76" t="e">
        <f>HLOOKUP(Roster!$E$11,Team!$BL$2:$MK$128,99,FALSE)</f>
        <v>#N/A</v>
      </c>
      <c r="AH100" s="76" t="e">
        <f>HLOOKUP(Roster!$E$12,Team!$BL$2:$MK$128,99,FALSE)</f>
        <v>#N/A</v>
      </c>
      <c r="AI100" s="76" t="e">
        <f>HLOOKUP(Roster!$E$13,Team!$BL$2:$MK$128,99,FALSE)</f>
        <v>#N/A</v>
      </c>
      <c r="AJ100" s="76" t="e">
        <f>HLOOKUP(Roster!$E$14,Team!$BL$2:$MK$128,99,FALSE)</f>
        <v>#N/A</v>
      </c>
      <c r="AK100" s="76" t="e">
        <f>HLOOKUP(Roster!$E$15,Team!$BL$2:$MK$128,99,FALSE)</f>
        <v>#N/A</v>
      </c>
      <c r="AL100" s="76" t="e">
        <f>HLOOKUP(Roster!$E$16,Team!$BL$2:$MK$128,99,FALSE)</f>
        <v>#N/A</v>
      </c>
      <c r="AM100" s="76" t="e">
        <f>HLOOKUP(Roster!$E$17,Team!$BL$2:$MK$128,99,FALSE)</f>
        <v>#N/A</v>
      </c>
      <c r="AN100" s="76" t="e">
        <f>HLOOKUP(Roster!$E$18,Team!$BL$2:$MK$128,99,FALSE)</f>
        <v>#N/A</v>
      </c>
      <c r="AO100" s="76" t="e">
        <f>HLOOKUP(Roster!$E$19,Team!$BL$2:$MK$128,99,FALSE)</f>
        <v>#N/A</v>
      </c>
      <c r="AP100" s="76" t="e">
        <f>HLOOKUP(Roster!$E$20,Team!$BL$2:$MK$128,99,FALSE)</f>
        <v>#N/A</v>
      </c>
      <c r="AR100" s="108">
        <f t="shared" si="17"/>
        <v>0</v>
      </c>
      <c r="AS100" s="108">
        <f t="shared" si="18"/>
        <v>0</v>
      </c>
      <c r="AT100" s="108">
        <f t="shared" si="19"/>
        <v>0</v>
      </c>
      <c r="AU100" s="108">
        <f t="shared" si="20"/>
        <v>0</v>
      </c>
      <c r="AV100" s="108">
        <f t="shared" si="21"/>
        <v>0</v>
      </c>
      <c r="AW100" s="108">
        <f t="shared" si="22"/>
        <v>0</v>
      </c>
      <c r="AX100" s="108">
        <f t="shared" si="23"/>
        <v>0</v>
      </c>
      <c r="AY100" s="108">
        <f t="shared" si="24"/>
        <v>0</v>
      </c>
      <c r="AZ100" s="108">
        <f t="shared" si="25"/>
        <v>0</v>
      </c>
      <c r="BA100" s="108">
        <f t="shared" si="26"/>
        <v>0</v>
      </c>
      <c r="BB100" s="108">
        <f t="shared" si="27"/>
        <v>0</v>
      </c>
      <c r="BC100" s="108">
        <f t="shared" si="28"/>
        <v>0</v>
      </c>
      <c r="BD100" s="108">
        <f t="shared" si="29"/>
        <v>0</v>
      </c>
      <c r="BE100" s="108">
        <f t="shared" si="30"/>
        <v>0</v>
      </c>
      <c r="BF100" s="108">
        <f t="shared" si="31"/>
        <v>0</v>
      </c>
      <c r="BG100" s="108">
        <f t="shared" si="32"/>
        <v>0</v>
      </c>
      <c r="BL100" s="74"/>
      <c r="BM100" s="74" t="s">
        <v>359</v>
      </c>
      <c r="BN100" s="74"/>
      <c r="BO100" s="74"/>
      <c r="BP100" s="74"/>
      <c r="BQ100" s="74"/>
      <c r="BR100" s="74" t="s">
        <v>359</v>
      </c>
      <c r="BS100" s="74" t="s">
        <v>359</v>
      </c>
      <c r="BT100" s="74" t="s">
        <v>359</v>
      </c>
      <c r="BU100" s="74" t="s">
        <v>359</v>
      </c>
      <c r="BV100" s="74"/>
      <c r="BW100" s="81" t="s">
        <v>335</v>
      </c>
      <c r="BX100" s="80" t="s">
        <v>359</v>
      </c>
      <c r="BY100" s="80" t="s">
        <v>359</v>
      </c>
      <c r="BZ100" s="80" t="s">
        <v>359</v>
      </c>
      <c r="CA100" s="80" t="s">
        <v>359</v>
      </c>
      <c r="CB100" s="81" t="s">
        <v>335</v>
      </c>
      <c r="CC100" s="77"/>
      <c r="CD100" s="77"/>
      <c r="CE100" s="80" t="s">
        <v>359</v>
      </c>
      <c r="CF100" s="77"/>
      <c r="CG100" s="80" t="s">
        <v>359</v>
      </c>
      <c r="CH100" s="77"/>
      <c r="CI100" s="77"/>
      <c r="CJ100" s="80" t="s">
        <v>359</v>
      </c>
      <c r="CK100" s="81" t="s">
        <v>335</v>
      </c>
      <c r="CL100" s="80" t="s">
        <v>359</v>
      </c>
      <c r="CM100" s="80" t="s">
        <v>359</v>
      </c>
      <c r="CN100" s="80" t="s">
        <v>359</v>
      </c>
      <c r="CO100" s="81" t="s">
        <v>335</v>
      </c>
      <c r="CP100" s="80" t="s">
        <v>359</v>
      </c>
      <c r="CQ100" s="80" t="s">
        <v>359</v>
      </c>
      <c r="CR100" s="80" t="s">
        <v>359</v>
      </c>
      <c r="CS100" s="80" t="s">
        <v>359</v>
      </c>
      <c r="CT100" s="80" t="s">
        <v>359</v>
      </c>
      <c r="CU100" s="80"/>
      <c r="CV100" s="74" t="s">
        <v>359</v>
      </c>
      <c r="CW100" s="74" t="s">
        <v>359</v>
      </c>
      <c r="CX100" s="74" t="s">
        <v>359</v>
      </c>
      <c r="CY100" s="74" t="s">
        <v>359</v>
      </c>
      <c r="CZ100" s="74" t="s">
        <v>359</v>
      </c>
      <c r="DA100" s="80"/>
      <c r="DC100" s="74" t="s">
        <v>359</v>
      </c>
      <c r="DD100" s="74" t="s">
        <v>359</v>
      </c>
      <c r="DE100" s="74" t="s">
        <v>359</v>
      </c>
      <c r="DF100" s="74" t="s">
        <v>359</v>
      </c>
      <c r="DJ100" s="74" t="s">
        <v>359</v>
      </c>
      <c r="DK100" s="74" t="s">
        <v>359</v>
      </c>
      <c r="DQ100" s="74" t="s">
        <v>359</v>
      </c>
      <c r="DS100" s="74" t="s">
        <v>359</v>
      </c>
      <c r="DV100" s="74" t="s">
        <v>359</v>
      </c>
      <c r="DW100" s="74" t="s">
        <v>359</v>
      </c>
      <c r="DZ100" s="74" t="s">
        <v>359</v>
      </c>
      <c r="EA100" s="74" t="s">
        <v>359</v>
      </c>
      <c r="EC100" s="74" t="s">
        <v>359</v>
      </c>
      <c r="ED100" s="74" t="s">
        <v>359</v>
      </c>
      <c r="EE100" s="74"/>
      <c r="EG100" s="74" t="s">
        <v>359</v>
      </c>
      <c r="EI100" s="74" t="s">
        <v>359</v>
      </c>
      <c r="EL100" s="74" t="s">
        <v>359</v>
      </c>
      <c r="EM100" s="74" t="s">
        <v>359</v>
      </c>
      <c r="EO100" s="74" t="s">
        <v>359</v>
      </c>
      <c r="EP100" s="74" t="s">
        <v>359</v>
      </c>
      <c r="ES100" s="74" t="s">
        <v>359</v>
      </c>
      <c r="ET100" s="74" t="s">
        <v>359</v>
      </c>
      <c r="EU100" s="74" t="s">
        <v>359</v>
      </c>
      <c r="FA100" s="74" t="s">
        <v>359</v>
      </c>
      <c r="FB100" s="74" t="s">
        <v>359</v>
      </c>
      <c r="FG100" s="80" t="s">
        <v>359</v>
      </c>
      <c r="FH100" s="81" t="s">
        <v>335</v>
      </c>
      <c r="FI100" s="80" t="s">
        <v>359</v>
      </c>
      <c r="FJ100" s="80" t="s">
        <v>359</v>
      </c>
      <c r="FK100" s="80" t="s">
        <v>359</v>
      </c>
      <c r="FM100" s="74" t="s">
        <v>359</v>
      </c>
      <c r="FN100" s="74" t="s">
        <v>359</v>
      </c>
      <c r="FQ100" s="74" t="s">
        <v>359</v>
      </c>
      <c r="FR100" s="74"/>
      <c r="FT100" s="74" t="s">
        <v>359</v>
      </c>
      <c r="FV100" s="74" t="s">
        <v>359</v>
      </c>
      <c r="FZ100" s="74" t="s">
        <v>359</v>
      </c>
      <c r="GB100" s="74" t="s">
        <v>359</v>
      </c>
      <c r="GC100" s="74" t="s">
        <v>359</v>
      </c>
      <c r="GF100" s="74" t="s">
        <v>359</v>
      </c>
      <c r="GH100" s="80" t="s">
        <v>359</v>
      </c>
      <c r="GI100" s="81" t="s">
        <v>335</v>
      </c>
      <c r="GJ100" s="80" t="s">
        <v>359</v>
      </c>
      <c r="GK100" s="80" t="s">
        <v>359</v>
      </c>
      <c r="GL100" s="80" t="s">
        <v>359</v>
      </c>
      <c r="GM100" s="80"/>
      <c r="GO100" s="74" t="s">
        <v>359</v>
      </c>
      <c r="GP100" s="74" t="s">
        <v>359</v>
      </c>
      <c r="GT100" s="74" t="s">
        <v>359</v>
      </c>
      <c r="GX100" s="74" t="s">
        <v>359</v>
      </c>
      <c r="HC100" s="74" t="s">
        <v>359</v>
      </c>
      <c r="HG100" s="74" t="s">
        <v>359</v>
      </c>
      <c r="HH100" s="74" t="s">
        <v>359</v>
      </c>
      <c r="HK100" s="74" t="s">
        <v>359</v>
      </c>
      <c r="HP100" s="74" t="s">
        <v>359</v>
      </c>
      <c r="HQ100" s="74" t="s">
        <v>359</v>
      </c>
      <c r="HV100" s="74" t="s">
        <v>359</v>
      </c>
      <c r="IB100" s="80" t="s">
        <v>359</v>
      </c>
      <c r="IC100" s="81" t="s">
        <v>335</v>
      </c>
      <c r="ID100" s="81" t="s">
        <v>335</v>
      </c>
      <c r="IE100" s="81" t="s">
        <v>335</v>
      </c>
      <c r="IF100" s="80" t="s">
        <v>359</v>
      </c>
      <c r="IG100" s="80" t="s">
        <v>359</v>
      </c>
      <c r="IH100" s="80"/>
      <c r="II100" s="74" t="s">
        <v>359</v>
      </c>
      <c r="IJ100" s="74" t="s">
        <v>359</v>
      </c>
      <c r="IK100" s="74" t="s">
        <v>359</v>
      </c>
      <c r="IL100" s="74" t="s">
        <v>359</v>
      </c>
      <c r="IM100" s="74" t="s">
        <v>359</v>
      </c>
      <c r="IN100" s="80"/>
      <c r="IT100" s="74" t="s">
        <v>359</v>
      </c>
      <c r="IY100" s="74" t="s">
        <v>359</v>
      </c>
      <c r="JC100" s="80" t="s">
        <v>359</v>
      </c>
      <c r="JE100" s="80" t="s">
        <v>359</v>
      </c>
      <c r="JF100" s="81" t="s">
        <v>335</v>
      </c>
      <c r="JG100" s="81" t="s">
        <v>335</v>
      </c>
      <c r="JH100" s="81" t="s">
        <v>335</v>
      </c>
      <c r="JI100" s="81" t="s">
        <v>335</v>
      </c>
      <c r="JJ100" s="80" t="s">
        <v>359</v>
      </c>
      <c r="JK100" s="80" t="s">
        <v>359</v>
      </c>
      <c r="JL100" s="80"/>
      <c r="JM100" s="80"/>
      <c r="JN100" s="74" t="s">
        <v>359</v>
      </c>
      <c r="JO100" s="80"/>
      <c r="JP100" s="80"/>
      <c r="JR100" s="74" t="s">
        <v>359</v>
      </c>
      <c r="JS100" s="74" t="s">
        <v>359</v>
      </c>
      <c r="JT100" s="74" t="s">
        <v>359</v>
      </c>
    </row>
    <row r="101" spans="1:280" x14ac:dyDescent="0.15">
      <c r="A101" s="214" t="s">
        <v>523</v>
      </c>
      <c r="B101" s="6" t="s">
        <v>488</v>
      </c>
      <c r="C101" s="6">
        <v>115000</v>
      </c>
      <c r="D101" s="6">
        <v>2</v>
      </c>
      <c r="E101" s="6">
        <v>4</v>
      </c>
      <c r="F101" s="6">
        <v>4</v>
      </c>
      <c r="G101" s="6" t="s">
        <v>37</v>
      </c>
      <c r="H101" s="6" t="s">
        <v>53</v>
      </c>
      <c r="I101" s="6" t="s">
        <v>41</v>
      </c>
      <c r="J101" s="21" t="s">
        <v>137</v>
      </c>
      <c r="K101" s="21">
        <v>1</v>
      </c>
      <c r="L101" s="21">
        <v>2</v>
      </c>
      <c r="M101" s="21">
        <v>1</v>
      </c>
      <c r="N101" s="21">
        <v>0</v>
      </c>
      <c r="O101" s="21">
        <v>0</v>
      </c>
      <c r="P101" s="21" t="str">
        <f>IF(TeamT[[#This Row],[General]]+TeamT[[#This Row],[Agility]]+TeamT[[#This Row],[Strength]]+TeamT[[#This Row],[Passing]]+TeamT[[#This Row],[Mutation]]&gt;0,IF(TeamT[[#This Row],[General]]=1,"G","")&amp;IF(TeamT[[#This Row],[Agility]]=1,"A","")&amp;IF(TeamT[[#This Row],[Strength]]=1,"S","")&amp;IF(TeamT[[#This Row],[Passing]]=1,"P","")&amp;IF(TeamT[[#This Row],[Mutation]]=1,"M",""),"Star")</f>
        <v>GS</v>
      </c>
      <c r="Q101" s="21" t="str">
        <f>IF(TeamT[[#This Row],[General]]=2,"G","")&amp;IF(TeamT[[#This Row],[Agility]]=2,"A","")&amp;IF(TeamT[[#This Row],[Strength]]=2,"S","")&amp;IF(TeamT[[#This Row],[Passing]]=2,"P","")&amp;IF(TeamT[[#This Row],[Mutation]]=2,"M","")</f>
        <v>A</v>
      </c>
      <c r="R101" s="212"/>
      <c r="S101" s="21">
        <v>4</v>
      </c>
      <c r="T101" s="21" t="s">
        <v>53</v>
      </c>
      <c r="U101" s="21">
        <v>10</v>
      </c>
      <c r="AA101" s="76" t="e">
        <f>HLOOKUP(Roster!$E$5,Team!$BL$2:$MK$128,100,FALSE)</f>
        <v>#N/A</v>
      </c>
      <c r="AB101" s="76" t="e">
        <f>HLOOKUP(Roster!$E$6,Team!$BL$2:$MK$128,100,FALSE)</f>
        <v>#N/A</v>
      </c>
      <c r="AC101" s="76" t="e">
        <f>HLOOKUP(Roster!$E$7,Team!$BL$2:$MK$128,100,FALSE)</f>
        <v>#N/A</v>
      </c>
      <c r="AD101" s="76" t="e">
        <f>HLOOKUP(Roster!$E$8,Team!$BL$2:$MK$128,100,FALSE)</f>
        <v>#N/A</v>
      </c>
      <c r="AE101" s="76" t="e">
        <f>HLOOKUP(Roster!$E$9,Team!$BL$2:$MK$128,100,FALSE)</f>
        <v>#N/A</v>
      </c>
      <c r="AF101" s="76" t="e">
        <f>HLOOKUP(Roster!$E$10,Team!$BL$2:$MK$128,100,FALSE)</f>
        <v>#N/A</v>
      </c>
      <c r="AG101" s="76" t="e">
        <f>HLOOKUP(Roster!$E$11,Team!$BL$2:$MK$128,100,FALSE)</f>
        <v>#N/A</v>
      </c>
      <c r="AH101" s="76" t="e">
        <f>HLOOKUP(Roster!$E$12,Team!$BL$2:$MK$128,100,FALSE)</f>
        <v>#N/A</v>
      </c>
      <c r="AI101" s="76" t="e">
        <f>HLOOKUP(Roster!$E$13,Team!$BL$2:$MK$128,100,FALSE)</f>
        <v>#N/A</v>
      </c>
      <c r="AJ101" s="76" t="e">
        <f>HLOOKUP(Roster!$E$14,Team!$BL$2:$MK$128,100,FALSE)</f>
        <v>#N/A</v>
      </c>
      <c r="AK101" s="76" t="e">
        <f>HLOOKUP(Roster!$E$15,Team!$BL$2:$MK$128,100,FALSE)</f>
        <v>#N/A</v>
      </c>
      <c r="AL101" s="76" t="e">
        <f>HLOOKUP(Roster!$E$16,Team!$BL$2:$MK$128,100,FALSE)</f>
        <v>#N/A</v>
      </c>
      <c r="AM101" s="76" t="e">
        <f>HLOOKUP(Roster!$E$17,Team!$BL$2:$MK$128,100,FALSE)</f>
        <v>#N/A</v>
      </c>
      <c r="AN101" s="76" t="e">
        <f>HLOOKUP(Roster!$E$18,Team!$BL$2:$MK$128,100,FALSE)</f>
        <v>#N/A</v>
      </c>
      <c r="AO101" s="76" t="e">
        <f>HLOOKUP(Roster!$E$19,Team!$BL$2:$MK$128,100,FALSE)</f>
        <v>#N/A</v>
      </c>
      <c r="AP101" s="76" t="e">
        <f>HLOOKUP(Roster!$E$20,Team!$BL$2:$MK$128,100,FALSE)</f>
        <v>#N/A</v>
      </c>
      <c r="AR101" s="108">
        <f t="shared" si="17"/>
        <v>0</v>
      </c>
      <c r="AS101" s="108">
        <f t="shared" si="18"/>
        <v>0</v>
      </c>
      <c r="AT101" s="108">
        <f t="shared" si="19"/>
        <v>0</v>
      </c>
      <c r="AU101" s="108">
        <f t="shared" si="20"/>
        <v>0</v>
      </c>
      <c r="AV101" s="108">
        <f t="shared" si="21"/>
        <v>0</v>
      </c>
      <c r="AW101" s="108">
        <f t="shared" si="22"/>
        <v>0</v>
      </c>
      <c r="AX101" s="108">
        <f t="shared" si="23"/>
        <v>0</v>
      </c>
      <c r="AY101" s="108">
        <f t="shared" si="24"/>
        <v>0</v>
      </c>
      <c r="AZ101" s="108">
        <f t="shared" si="25"/>
        <v>0</v>
      </c>
      <c r="BA101" s="108">
        <f t="shared" si="26"/>
        <v>0</v>
      </c>
      <c r="BB101" s="108">
        <f t="shared" si="27"/>
        <v>0</v>
      </c>
      <c r="BC101" s="108">
        <f t="shared" si="28"/>
        <v>0</v>
      </c>
      <c r="BD101" s="108">
        <f t="shared" si="29"/>
        <v>0</v>
      </c>
      <c r="BE101" s="108">
        <f t="shared" si="30"/>
        <v>0</v>
      </c>
      <c r="BF101" s="108">
        <f t="shared" si="31"/>
        <v>0</v>
      </c>
      <c r="BG101" s="108">
        <f t="shared" si="32"/>
        <v>0</v>
      </c>
      <c r="BL101" s="75"/>
      <c r="BM101" s="75" t="s">
        <v>360</v>
      </c>
      <c r="BN101" s="75"/>
      <c r="BO101" s="75"/>
      <c r="BP101" s="75"/>
      <c r="BQ101" s="75"/>
      <c r="BR101" s="75" t="s">
        <v>360</v>
      </c>
      <c r="BS101" s="75" t="s">
        <v>360</v>
      </c>
      <c r="BT101" s="75" t="s">
        <v>360</v>
      </c>
      <c r="BU101" s="75" t="s">
        <v>360</v>
      </c>
      <c r="BV101" s="75"/>
      <c r="BW101" s="81" t="s">
        <v>336</v>
      </c>
      <c r="BX101" s="81" t="s">
        <v>360</v>
      </c>
      <c r="BY101" s="81" t="s">
        <v>360</v>
      </c>
      <c r="BZ101" s="81" t="s">
        <v>360</v>
      </c>
      <c r="CA101" s="81" t="s">
        <v>360</v>
      </c>
      <c r="CB101" s="81" t="s">
        <v>336</v>
      </c>
      <c r="CC101" s="77"/>
      <c r="CD101" s="77"/>
      <c r="CE101" s="81" t="s">
        <v>360</v>
      </c>
      <c r="CF101" s="77"/>
      <c r="CG101" s="81" t="s">
        <v>360</v>
      </c>
      <c r="CH101" s="77"/>
      <c r="CI101" s="77"/>
      <c r="CJ101" s="81" t="s">
        <v>360</v>
      </c>
      <c r="CK101" s="81" t="s">
        <v>336</v>
      </c>
      <c r="CL101" s="81" t="s">
        <v>360</v>
      </c>
      <c r="CM101" s="81" t="s">
        <v>360</v>
      </c>
      <c r="CN101" s="81" t="s">
        <v>360</v>
      </c>
      <c r="CO101" s="81" t="s">
        <v>336</v>
      </c>
      <c r="CP101" s="81" t="s">
        <v>360</v>
      </c>
      <c r="CQ101" s="81" t="s">
        <v>360</v>
      </c>
      <c r="CR101" s="81" t="s">
        <v>360</v>
      </c>
      <c r="CS101" s="81" t="s">
        <v>360</v>
      </c>
      <c r="CT101" s="81" t="s">
        <v>360</v>
      </c>
      <c r="CU101" s="81"/>
      <c r="CV101" s="75" t="s">
        <v>360</v>
      </c>
      <c r="CW101" s="75" t="s">
        <v>360</v>
      </c>
      <c r="CX101" s="75" t="s">
        <v>360</v>
      </c>
      <c r="CY101" s="75" t="s">
        <v>360</v>
      </c>
      <c r="CZ101" s="75" t="s">
        <v>360</v>
      </c>
      <c r="DA101" s="81"/>
      <c r="DC101" s="75" t="s">
        <v>360</v>
      </c>
      <c r="DD101" s="75" t="s">
        <v>360</v>
      </c>
      <c r="DE101" s="75" t="s">
        <v>360</v>
      </c>
      <c r="DF101" s="75" t="s">
        <v>360</v>
      </c>
      <c r="DJ101" s="75" t="s">
        <v>360</v>
      </c>
      <c r="DK101" s="75" t="s">
        <v>360</v>
      </c>
      <c r="DQ101" s="75" t="s">
        <v>360</v>
      </c>
      <c r="DS101" s="75" t="s">
        <v>360</v>
      </c>
      <c r="DV101" s="75" t="s">
        <v>360</v>
      </c>
      <c r="DW101" s="75" t="s">
        <v>360</v>
      </c>
      <c r="DZ101" s="75" t="s">
        <v>360</v>
      </c>
      <c r="EA101" s="75" t="s">
        <v>360</v>
      </c>
      <c r="EC101" s="75" t="s">
        <v>360</v>
      </c>
      <c r="ED101" s="75" t="s">
        <v>360</v>
      </c>
      <c r="EE101" s="75"/>
      <c r="EG101" s="75" t="s">
        <v>360</v>
      </c>
      <c r="EI101" s="75" t="s">
        <v>360</v>
      </c>
      <c r="EL101" s="75" t="s">
        <v>360</v>
      </c>
      <c r="EM101" s="75" t="s">
        <v>360</v>
      </c>
      <c r="EO101" s="75" t="s">
        <v>360</v>
      </c>
      <c r="EP101" s="75" t="s">
        <v>360</v>
      </c>
      <c r="ES101" s="75" t="s">
        <v>360</v>
      </c>
      <c r="ET101" s="75" t="s">
        <v>360</v>
      </c>
      <c r="EU101" s="75" t="s">
        <v>360</v>
      </c>
      <c r="FA101" s="75" t="s">
        <v>360</v>
      </c>
      <c r="FB101" s="75" t="s">
        <v>360</v>
      </c>
      <c r="FG101" s="81" t="s">
        <v>360</v>
      </c>
      <c r="FH101" s="81" t="s">
        <v>336</v>
      </c>
      <c r="FI101" s="81" t="s">
        <v>360</v>
      </c>
      <c r="FJ101" s="81" t="s">
        <v>360</v>
      </c>
      <c r="FK101" s="81" t="s">
        <v>360</v>
      </c>
      <c r="FM101" s="75" t="s">
        <v>360</v>
      </c>
      <c r="FN101" s="75" t="s">
        <v>360</v>
      </c>
      <c r="FQ101" s="75" t="s">
        <v>360</v>
      </c>
      <c r="FR101" s="75"/>
      <c r="FT101" s="75" t="s">
        <v>360</v>
      </c>
      <c r="FV101" s="75" t="s">
        <v>360</v>
      </c>
      <c r="FZ101" s="75" t="s">
        <v>360</v>
      </c>
      <c r="GB101" s="75" t="s">
        <v>360</v>
      </c>
      <c r="GC101" s="75" t="s">
        <v>360</v>
      </c>
      <c r="GF101" s="75" t="s">
        <v>360</v>
      </c>
      <c r="GH101" s="81" t="s">
        <v>360</v>
      </c>
      <c r="GI101" s="81" t="s">
        <v>336</v>
      </c>
      <c r="GJ101" s="81" t="s">
        <v>360</v>
      </c>
      <c r="GK101" s="81" t="s">
        <v>360</v>
      </c>
      <c r="GL101" s="81" t="s">
        <v>360</v>
      </c>
      <c r="GM101" s="81"/>
      <c r="GO101" s="75" t="s">
        <v>360</v>
      </c>
      <c r="GP101" s="75" t="s">
        <v>360</v>
      </c>
      <c r="GT101" s="75" t="s">
        <v>360</v>
      </c>
      <c r="GX101" s="75" t="s">
        <v>360</v>
      </c>
      <c r="HC101" s="75" t="s">
        <v>360</v>
      </c>
      <c r="HG101" s="75" t="s">
        <v>360</v>
      </c>
      <c r="HH101" s="75" t="s">
        <v>360</v>
      </c>
      <c r="HK101" s="75" t="s">
        <v>360</v>
      </c>
      <c r="HP101" s="75" t="s">
        <v>360</v>
      </c>
      <c r="HQ101" s="75" t="s">
        <v>360</v>
      </c>
      <c r="HV101" s="75" t="s">
        <v>360</v>
      </c>
      <c r="IB101" s="81" t="s">
        <v>360</v>
      </c>
      <c r="IC101" s="81" t="s">
        <v>336</v>
      </c>
      <c r="ID101" s="81" t="s">
        <v>336</v>
      </c>
      <c r="IE101" s="81" t="s">
        <v>336</v>
      </c>
      <c r="IF101" s="81" t="s">
        <v>360</v>
      </c>
      <c r="IG101" s="81" t="s">
        <v>360</v>
      </c>
      <c r="IH101" s="81"/>
      <c r="II101" s="75" t="s">
        <v>360</v>
      </c>
      <c r="IJ101" s="75" t="s">
        <v>360</v>
      </c>
      <c r="IK101" s="75" t="s">
        <v>360</v>
      </c>
      <c r="IL101" s="75" t="s">
        <v>360</v>
      </c>
      <c r="IM101" s="75" t="s">
        <v>360</v>
      </c>
      <c r="IN101" s="81"/>
      <c r="IT101" s="75" t="s">
        <v>360</v>
      </c>
      <c r="IY101" s="75" t="s">
        <v>360</v>
      </c>
      <c r="JC101" s="81" t="s">
        <v>360</v>
      </c>
      <c r="JE101" s="81" t="s">
        <v>360</v>
      </c>
      <c r="JF101" s="81" t="s">
        <v>336</v>
      </c>
      <c r="JG101" s="81" t="s">
        <v>336</v>
      </c>
      <c r="JH101" s="81" t="s">
        <v>336</v>
      </c>
      <c r="JI101" s="81" t="s">
        <v>336</v>
      </c>
      <c r="JJ101" s="81" t="s">
        <v>360</v>
      </c>
      <c r="JK101" s="81" t="s">
        <v>360</v>
      </c>
      <c r="JL101" s="81"/>
      <c r="JM101" s="81"/>
      <c r="JN101" s="75" t="s">
        <v>360</v>
      </c>
      <c r="JO101" s="81"/>
      <c r="JP101" s="81"/>
      <c r="JR101" s="75" t="s">
        <v>360</v>
      </c>
      <c r="JS101" s="75" t="s">
        <v>360</v>
      </c>
      <c r="JT101" s="75" t="s">
        <v>360</v>
      </c>
    </row>
    <row r="102" spans="1:280" x14ac:dyDescent="0.15">
      <c r="A102" s="214" t="s">
        <v>547</v>
      </c>
      <c r="B102" s="6" t="s">
        <v>488</v>
      </c>
      <c r="C102" s="6">
        <v>40000</v>
      </c>
      <c r="D102" s="6">
        <v>11</v>
      </c>
      <c r="E102" s="6">
        <v>4</v>
      </c>
      <c r="F102" s="6">
        <v>3</v>
      </c>
      <c r="G102" s="6" t="s">
        <v>37</v>
      </c>
      <c r="H102" s="6" t="s">
        <v>53</v>
      </c>
      <c r="I102" s="6" t="s">
        <v>46</v>
      </c>
      <c r="J102" s="21" t="s">
        <v>138</v>
      </c>
      <c r="K102" s="21">
        <v>1</v>
      </c>
      <c r="L102" s="21">
        <v>2</v>
      </c>
      <c r="M102" s="21">
        <v>2</v>
      </c>
      <c r="N102" s="21">
        <v>0</v>
      </c>
      <c r="O102" s="21">
        <v>0</v>
      </c>
      <c r="P102" s="21" t="str">
        <f>IF(TeamT[[#This Row],[General]]+TeamT[[#This Row],[Agility]]+TeamT[[#This Row],[Strength]]+TeamT[[#This Row],[Passing]]+TeamT[[#This Row],[Mutation]]&gt;0,IF(TeamT[[#This Row],[General]]=1,"G","")&amp;IF(TeamT[[#This Row],[Agility]]=1,"A","")&amp;IF(TeamT[[#This Row],[Strength]]=1,"S","")&amp;IF(TeamT[[#This Row],[Passing]]=1,"P","")&amp;IF(TeamT[[#This Row],[Mutation]]=1,"M",""),"Star")</f>
        <v>G</v>
      </c>
      <c r="Q102" s="21" t="str">
        <f>IF(TeamT[[#This Row],[General]]=2,"G","")&amp;IF(TeamT[[#This Row],[Agility]]=2,"A","")&amp;IF(TeamT[[#This Row],[Strength]]=2,"S","")&amp;IF(TeamT[[#This Row],[Passing]]=2,"P","")&amp;IF(TeamT[[#This Row],[Mutation]]=2,"M","")</f>
        <v>AS</v>
      </c>
      <c r="R102" s="212"/>
      <c r="S102" s="21">
        <v>4</v>
      </c>
      <c r="T102" s="21" t="s">
        <v>53</v>
      </c>
      <c r="U102" s="21">
        <v>9</v>
      </c>
      <c r="AA102" s="76" t="e">
        <f>HLOOKUP(Roster!$E$5,Team!$BL$2:$MK$128,101,FALSE)</f>
        <v>#N/A</v>
      </c>
      <c r="AB102" s="76" t="e">
        <f>HLOOKUP(Roster!$E$6,Team!$BL$2:$MK$128,101,FALSE)</f>
        <v>#N/A</v>
      </c>
      <c r="AC102" s="76" t="e">
        <f>HLOOKUP(Roster!$E$7,Team!$BL$2:$MK$128,101,FALSE)</f>
        <v>#N/A</v>
      </c>
      <c r="AD102" s="76" t="e">
        <f>HLOOKUP(Roster!$E$8,Team!$BL$2:$MK$128,101,FALSE)</f>
        <v>#N/A</v>
      </c>
      <c r="AE102" s="76" t="e">
        <f>HLOOKUP(Roster!$E$9,Team!$BL$2:$MK$128,101,FALSE)</f>
        <v>#N/A</v>
      </c>
      <c r="AF102" s="76" t="e">
        <f>HLOOKUP(Roster!$E$10,Team!$BL$2:$MK$128,101,FALSE)</f>
        <v>#N/A</v>
      </c>
      <c r="AG102" s="76" t="e">
        <f>HLOOKUP(Roster!$E$11,Team!$BL$2:$MK$128,101,FALSE)</f>
        <v>#N/A</v>
      </c>
      <c r="AH102" s="76" t="e">
        <f>HLOOKUP(Roster!$E$12,Team!$BL$2:$MK$128,101,FALSE)</f>
        <v>#N/A</v>
      </c>
      <c r="AI102" s="76" t="e">
        <f>HLOOKUP(Roster!$E$13,Team!$BL$2:$MK$128,101,FALSE)</f>
        <v>#N/A</v>
      </c>
      <c r="AJ102" s="76" t="e">
        <f>HLOOKUP(Roster!$E$14,Team!$BL$2:$MK$128,101,FALSE)</f>
        <v>#N/A</v>
      </c>
      <c r="AK102" s="76" t="e">
        <f>HLOOKUP(Roster!$E$15,Team!$BL$2:$MK$128,101,FALSE)</f>
        <v>#N/A</v>
      </c>
      <c r="AL102" s="76" t="e">
        <f>HLOOKUP(Roster!$E$16,Team!$BL$2:$MK$128,101,FALSE)</f>
        <v>#N/A</v>
      </c>
      <c r="AM102" s="76" t="e">
        <f>HLOOKUP(Roster!$E$17,Team!$BL$2:$MK$128,101,FALSE)</f>
        <v>#N/A</v>
      </c>
      <c r="AN102" s="76" t="e">
        <f>HLOOKUP(Roster!$E$18,Team!$BL$2:$MK$128,101,FALSE)</f>
        <v>#N/A</v>
      </c>
      <c r="AO102" s="76" t="e">
        <f>HLOOKUP(Roster!$E$19,Team!$BL$2:$MK$128,101,FALSE)</f>
        <v>#N/A</v>
      </c>
      <c r="AP102" s="76" t="e">
        <f>HLOOKUP(Roster!$E$20,Team!$BL$2:$MK$128,101,FALSE)</f>
        <v>#N/A</v>
      </c>
      <c r="AR102" s="108">
        <f t="shared" si="17"/>
        <v>0</v>
      </c>
      <c r="AS102" s="108">
        <f t="shared" si="18"/>
        <v>0</v>
      </c>
      <c r="AT102" s="108">
        <f t="shared" si="19"/>
        <v>0</v>
      </c>
      <c r="AU102" s="108">
        <f t="shared" si="20"/>
        <v>0</v>
      </c>
      <c r="AV102" s="108">
        <f t="shared" si="21"/>
        <v>0</v>
      </c>
      <c r="AW102" s="108">
        <f t="shared" si="22"/>
        <v>0</v>
      </c>
      <c r="AX102" s="108">
        <f t="shared" si="23"/>
        <v>0</v>
      </c>
      <c r="AY102" s="108">
        <f t="shared" si="24"/>
        <v>0</v>
      </c>
      <c r="AZ102" s="108">
        <f t="shared" si="25"/>
        <v>0</v>
      </c>
      <c r="BA102" s="108">
        <f t="shared" si="26"/>
        <v>0</v>
      </c>
      <c r="BB102" s="108">
        <f t="shared" si="27"/>
        <v>0</v>
      </c>
      <c r="BC102" s="108">
        <f t="shared" si="28"/>
        <v>0</v>
      </c>
      <c r="BD102" s="108">
        <f t="shared" si="29"/>
        <v>0</v>
      </c>
      <c r="BE102" s="108">
        <f t="shared" si="30"/>
        <v>0</v>
      </c>
      <c r="BF102" s="108">
        <f t="shared" si="31"/>
        <v>0</v>
      </c>
      <c r="BG102" s="108">
        <f t="shared" si="32"/>
        <v>0</v>
      </c>
      <c r="BL102" s="74"/>
      <c r="BM102" s="74" t="s">
        <v>361</v>
      </c>
      <c r="BN102" s="74"/>
      <c r="BO102" s="74"/>
      <c r="BP102" s="74"/>
      <c r="BQ102" s="74"/>
      <c r="BR102" s="74" t="s">
        <v>361</v>
      </c>
      <c r="BS102" s="74" t="s">
        <v>361</v>
      </c>
      <c r="BT102" s="74" t="s">
        <v>361</v>
      </c>
      <c r="BU102" s="74" t="s">
        <v>361</v>
      </c>
      <c r="BV102" s="74"/>
      <c r="BW102" s="81" t="s">
        <v>337</v>
      </c>
      <c r="BX102" s="80" t="s">
        <v>361</v>
      </c>
      <c r="BY102" s="80" t="s">
        <v>361</v>
      </c>
      <c r="BZ102" s="80" t="s">
        <v>361</v>
      </c>
      <c r="CA102" s="80" t="s">
        <v>361</v>
      </c>
      <c r="CB102" s="81" t="s">
        <v>337</v>
      </c>
      <c r="CC102" s="77"/>
      <c r="CD102" s="77"/>
      <c r="CE102" s="80" t="s">
        <v>361</v>
      </c>
      <c r="CF102" s="77"/>
      <c r="CG102" s="80" t="s">
        <v>361</v>
      </c>
      <c r="CH102" s="77"/>
      <c r="CI102" s="77"/>
      <c r="CJ102" s="80" t="s">
        <v>361</v>
      </c>
      <c r="CK102" s="81" t="s">
        <v>337</v>
      </c>
      <c r="CL102" s="80" t="s">
        <v>361</v>
      </c>
      <c r="CM102" s="80" t="s">
        <v>361</v>
      </c>
      <c r="CN102" s="80" t="s">
        <v>361</v>
      </c>
      <c r="CO102" s="81" t="s">
        <v>337</v>
      </c>
      <c r="CP102" s="80" t="s">
        <v>361</v>
      </c>
      <c r="CQ102" s="80" t="s">
        <v>361</v>
      </c>
      <c r="CR102" s="80" t="s">
        <v>361</v>
      </c>
      <c r="CS102" s="80" t="s">
        <v>361</v>
      </c>
      <c r="CT102" s="80" t="s">
        <v>361</v>
      </c>
      <c r="CU102" s="80"/>
      <c r="CV102" s="74" t="s">
        <v>361</v>
      </c>
      <c r="CW102" s="74" t="s">
        <v>361</v>
      </c>
      <c r="CX102" s="74" t="s">
        <v>361</v>
      </c>
      <c r="CY102" s="74" t="s">
        <v>361</v>
      </c>
      <c r="CZ102" s="74" t="s">
        <v>361</v>
      </c>
      <c r="DA102" s="80"/>
      <c r="DC102" s="74" t="s">
        <v>361</v>
      </c>
      <c r="DD102" s="74" t="s">
        <v>361</v>
      </c>
      <c r="DE102" s="74" t="s">
        <v>361</v>
      </c>
      <c r="DF102" s="74" t="s">
        <v>361</v>
      </c>
      <c r="DJ102" s="74" t="s">
        <v>361</v>
      </c>
      <c r="DK102" s="74" t="s">
        <v>361</v>
      </c>
      <c r="DQ102" s="74" t="s">
        <v>361</v>
      </c>
      <c r="DS102" s="74" t="s">
        <v>361</v>
      </c>
      <c r="DV102" s="74" t="s">
        <v>361</v>
      </c>
      <c r="DW102" s="74" t="s">
        <v>361</v>
      </c>
      <c r="DZ102" s="74" t="s">
        <v>361</v>
      </c>
      <c r="EA102" s="74" t="s">
        <v>361</v>
      </c>
      <c r="EC102" s="74" t="s">
        <v>361</v>
      </c>
      <c r="ED102" s="74" t="s">
        <v>361</v>
      </c>
      <c r="EE102" s="74"/>
      <c r="EG102" s="74" t="s">
        <v>361</v>
      </c>
      <c r="EI102" s="74" t="s">
        <v>361</v>
      </c>
      <c r="EL102" s="74" t="s">
        <v>361</v>
      </c>
      <c r="EM102" s="74" t="s">
        <v>361</v>
      </c>
      <c r="EO102" s="74" t="s">
        <v>361</v>
      </c>
      <c r="EP102" s="74" t="s">
        <v>361</v>
      </c>
      <c r="ES102" s="74" t="s">
        <v>361</v>
      </c>
      <c r="ET102" s="74" t="s">
        <v>361</v>
      </c>
      <c r="EU102" s="74" t="s">
        <v>361</v>
      </c>
      <c r="FA102" s="74" t="s">
        <v>361</v>
      </c>
      <c r="FB102" s="74" t="s">
        <v>361</v>
      </c>
      <c r="FG102" s="80" t="s">
        <v>361</v>
      </c>
      <c r="FH102" s="81" t="s">
        <v>337</v>
      </c>
      <c r="FI102" s="80" t="s">
        <v>361</v>
      </c>
      <c r="FJ102" s="80" t="s">
        <v>361</v>
      </c>
      <c r="FK102" s="80" t="s">
        <v>361</v>
      </c>
      <c r="FM102" s="74" t="s">
        <v>361</v>
      </c>
      <c r="FN102" s="74" t="s">
        <v>361</v>
      </c>
      <c r="FQ102" s="74" t="s">
        <v>361</v>
      </c>
      <c r="FR102" s="74"/>
      <c r="FT102" s="74" t="s">
        <v>361</v>
      </c>
      <c r="FV102" s="74" t="s">
        <v>361</v>
      </c>
      <c r="FZ102" s="74" t="s">
        <v>361</v>
      </c>
      <c r="GB102" s="74" t="s">
        <v>361</v>
      </c>
      <c r="GC102" s="74" t="s">
        <v>361</v>
      </c>
      <c r="GF102" s="74" t="s">
        <v>361</v>
      </c>
      <c r="GH102" s="80" t="s">
        <v>361</v>
      </c>
      <c r="GI102" s="81" t="s">
        <v>337</v>
      </c>
      <c r="GJ102" s="80" t="s">
        <v>361</v>
      </c>
      <c r="GK102" s="80" t="s">
        <v>361</v>
      </c>
      <c r="GL102" s="80" t="s">
        <v>361</v>
      </c>
      <c r="GM102" s="80"/>
      <c r="GO102" s="74" t="s">
        <v>361</v>
      </c>
      <c r="GP102" s="74" t="s">
        <v>361</v>
      </c>
      <c r="GT102" s="74" t="s">
        <v>361</v>
      </c>
      <c r="GX102" s="74" t="s">
        <v>361</v>
      </c>
      <c r="HC102" s="74" t="s">
        <v>361</v>
      </c>
      <c r="HG102" s="74" t="s">
        <v>361</v>
      </c>
      <c r="HH102" s="74" t="s">
        <v>361</v>
      </c>
      <c r="HK102" s="74" t="s">
        <v>361</v>
      </c>
      <c r="HP102" s="74" t="s">
        <v>361</v>
      </c>
      <c r="HQ102" s="74" t="s">
        <v>361</v>
      </c>
      <c r="HV102" s="74" t="s">
        <v>361</v>
      </c>
      <c r="IB102" s="80" t="s">
        <v>361</v>
      </c>
      <c r="IC102" s="81" t="s">
        <v>337</v>
      </c>
      <c r="ID102" s="81" t="s">
        <v>337</v>
      </c>
      <c r="IE102" s="81" t="s">
        <v>337</v>
      </c>
      <c r="IF102" s="80" t="s">
        <v>361</v>
      </c>
      <c r="IG102" s="80" t="s">
        <v>361</v>
      </c>
      <c r="IH102" s="80"/>
      <c r="II102" s="74" t="s">
        <v>361</v>
      </c>
      <c r="IJ102" s="74" t="s">
        <v>361</v>
      </c>
      <c r="IK102" s="74" t="s">
        <v>361</v>
      </c>
      <c r="IL102" s="74" t="s">
        <v>361</v>
      </c>
      <c r="IM102" s="74" t="s">
        <v>361</v>
      </c>
      <c r="IN102" s="80"/>
      <c r="IT102" s="74" t="s">
        <v>361</v>
      </c>
      <c r="IY102" s="74" t="s">
        <v>361</v>
      </c>
      <c r="JC102" s="80" t="s">
        <v>361</v>
      </c>
      <c r="JE102" s="80" t="s">
        <v>361</v>
      </c>
      <c r="JF102" s="81" t="s">
        <v>337</v>
      </c>
      <c r="JG102" s="81" t="s">
        <v>337</v>
      </c>
      <c r="JH102" s="81" t="s">
        <v>337</v>
      </c>
      <c r="JI102" s="81" t="s">
        <v>337</v>
      </c>
      <c r="JJ102" s="80" t="s">
        <v>361</v>
      </c>
      <c r="JK102" s="80" t="s">
        <v>361</v>
      </c>
      <c r="JL102" s="80"/>
      <c r="JM102" s="80"/>
      <c r="JN102" s="74" t="s">
        <v>361</v>
      </c>
      <c r="JO102" s="80"/>
      <c r="JP102" s="80"/>
      <c r="JR102" s="74" t="s">
        <v>361</v>
      </c>
      <c r="JS102" s="74" t="s">
        <v>361</v>
      </c>
      <c r="JT102" s="74" t="s">
        <v>361</v>
      </c>
    </row>
    <row r="103" spans="1:280" x14ac:dyDescent="0.15">
      <c r="A103" s="104" t="s">
        <v>761</v>
      </c>
      <c r="B103" s="6" t="s">
        <v>591</v>
      </c>
      <c r="C103" s="6">
        <v>50000</v>
      </c>
      <c r="D103" s="6">
        <v>12</v>
      </c>
      <c r="E103" s="6">
        <v>6</v>
      </c>
      <c r="F103" s="6">
        <v>3</v>
      </c>
      <c r="G103" s="6" t="s">
        <v>36</v>
      </c>
      <c r="H103" s="6" t="s">
        <v>37</v>
      </c>
      <c r="I103" s="6" t="s">
        <v>38</v>
      </c>
      <c r="J103" s="21" t="s">
        <v>769</v>
      </c>
      <c r="K103" s="21">
        <v>1</v>
      </c>
      <c r="L103" s="21">
        <v>2</v>
      </c>
      <c r="M103" s="21">
        <v>2</v>
      </c>
      <c r="N103" s="21">
        <v>0</v>
      </c>
      <c r="O103" s="21">
        <v>0</v>
      </c>
      <c r="P103" s="23" t="str">
        <f>IF(TeamT[[#This Row],[General]]+TeamT[[#This Row],[Agility]]+TeamT[[#This Row],[Strength]]+TeamT[[#This Row],[Passing]]+TeamT[[#This Row],[Mutation]]&gt;0,IF(TeamT[[#This Row],[General]]=1,"G","")&amp;IF(TeamT[[#This Row],[Agility]]=1,"A","")&amp;IF(TeamT[[#This Row],[Strength]]=1,"S","")&amp;IF(TeamT[[#This Row],[Passing]]=1,"P","")&amp;IF(TeamT[[#This Row],[Mutation]]=1,"M",""),"Star")</f>
        <v>G</v>
      </c>
      <c r="Q103" s="23" t="str">
        <f>IF(TeamT[[#This Row],[General]]=2,"G","")&amp;IF(TeamT[[#This Row],[Agility]]=2,"A","")&amp;IF(TeamT[[#This Row],[Strength]]=2,"S","")&amp;IF(TeamT[[#This Row],[Passing]]=2,"P","")&amp;IF(TeamT[[#This Row],[Mutation]]=2,"M","")</f>
        <v>AS</v>
      </c>
      <c r="R103" s="212"/>
      <c r="S103" s="21">
        <v>3</v>
      </c>
      <c r="T103" s="21">
        <v>4</v>
      </c>
      <c r="U103" s="21">
        <v>8</v>
      </c>
      <c r="AA103" s="76" t="e">
        <f>HLOOKUP(Roster!$E$5,Team!$BL$2:$MK$128,102,FALSE)</f>
        <v>#N/A</v>
      </c>
      <c r="AB103" s="76" t="e">
        <f>HLOOKUP(Roster!$E$6,Team!$BL$2:$MK$128,102,FALSE)</f>
        <v>#N/A</v>
      </c>
      <c r="AC103" s="76" t="e">
        <f>HLOOKUP(Roster!$E$7,Team!$BL$2:$MK$128,102,FALSE)</f>
        <v>#N/A</v>
      </c>
      <c r="AD103" s="76" t="e">
        <f>HLOOKUP(Roster!$E$8,Team!$BL$2:$MK$128,102,FALSE)</f>
        <v>#N/A</v>
      </c>
      <c r="AE103" s="76" t="e">
        <f>HLOOKUP(Roster!$E$9,Team!$BL$2:$MK$128,102,FALSE)</f>
        <v>#N/A</v>
      </c>
      <c r="AF103" s="76" t="e">
        <f>HLOOKUP(Roster!$E$10,Team!$BL$2:$MK$128,102,FALSE)</f>
        <v>#N/A</v>
      </c>
      <c r="AG103" s="76" t="e">
        <f>HLOOKUP(Roster!$E$11,Team!$BL$2:$MK$128,102,FALSE)</f>
        <v>#N/A</v>
      </c>
      <c r="AH103" s="76" t="e">
        <f>HLOOKUP(Roster!$E$12,Team!$BL$2:$MK$128,102,FALSE)</f>
        <v>#N/A</v>
      </c>
      <c r="AI103" s="76" t="e">
        <f>HLOOKUP(Roster!$E$13,Team!$BL$2:$MK$128,102,FALSE)</f>
        <v>#N/A</v>
      </c>
      <c r="AJ103" s="76" t="e">
        <f>HLOOKUP(Roster!$E$14,Team!$BL$2:$MK$128,102,FALSE)</f>
        <v>#N/A</v>
      </c>
      <c r="AK103" s="76" t="e">
        <f>HLOOKUP(Roster!$E$15,Team!$BL$2:$MK$128,102,FALSE)</f>
        <v>#N/A</v>
      </c>
      <c r="AL103" s="76" t="e">
        <f>HLOOKUP(Roster!$E$16,Team!$BL$2:$MK$128,102,FALSE)</f>
        <v>#N/A</v>
      </c>
      <c r="AM103" s="76" t="e">
        <f>HLOOKUP(Roster!$E$17,Team!$BL$2:$MK$128,102,FALSE)</f>
        <v>#N/A</v>
      </c>
      <c r="AN103" s="76" t="e">
        <f>HLOOKUP(Roster!$E$18,Team!$BL$2:$MK$128,102,FALSE)</f>
        <v>#N/A</v>
      </c>
      <c r="AO103" s="76" t="e">
        <f>HLOOKUP(Roster!$E$19,Team!$BL$2:$MK$128,102,FALSE)</f>
        <v>#N/A</v>
      </c>
      <c r="AP103" s="76" t="e">
        <f>HLOOKUP(Roster!$E$20,Team!$BL$2:$MK$128,102,FALSE)</f>
        <v>#N/A</v>
      </c>
      <c r="AR103" s="108">
        <f t="shared" si="17"/>
        <v>0</v>
      </c>
      <c r="AS103" s="108">
        <f t="shared" si="18"/>
        <v>0</v>
      </c>
      <c r="AT103" s="108">
        <f t="shared" si="19"/>
        <v>0</v>
      </c>
      <c r="AU103" s="108">
        <f t="shared" si="20"/>
        <v>0</v>
      </c>
      <c r="AV103" s="108">
        <f t="shared" si="21"/>
        <v>0</v>
      </c>
      <c r="AW103" s="108">
        <f t="shared" si="22"/>
        <v>0</v>
      </c>
      <c r="AX103" s="108">
        <f t="shared" si="23"/>
        <v>0</v>
      </c>
      <c r="AY103" s="108">
        <f t="shared" si="24"/>
        <v>0</v>
      </c>
      <c r="AZ103" s="108">
        <f t="shared" si="25"/>
        <v>0</v>
      </c>
      <c r="BA103" s="108">
        <f t="shared" si="26"/>
        <v>0</v>
      </c>
      <c r="BB103" s="108">
        <f t="shared" si="27"/>
        <v>0</v>
      </c>
      <c r="BC103" s="108">
        <f t="shared" si="28"/>
        <v>0</v>
      </c>
      <c r="BD103" s="108">
        <f t="shared" si="29"/>
        <v>0</v>
      </c>
      <c r="BE103" s="108">
        <f t="shared" si="30"/>
        <v>0</v>
      </c>
      <c r="BF103" s="108">
        <f t="shared" si="31"/>
        <v>0</v>
      </c>
      <c r="BG103" s="108">
        <f t="shared" si="32"/>
        <v>0</v>
      </c>
      <c r="BL103" s="75"/>
      <c r="BM103" s="75" t="s">
        <v>362</v>
      </c>
      <c r="BN103" s="75"/>
      <c r="BO103" s="75"/>
      <c r="BP103" s="75"/>
      <c r="BQ103" s="75"/>
      <c r="BR103" s="75" t="s">
        <v>362</v>
      </c>
      <c r="BS103" s="75" t="s">
        <v>362</v>
      </c>
      <c r="BT103" s="75" t="s">
        <v>362</v>
      </c>
      <c r="BU103" s="75" t="s">
        <v>362</v>
      </c>
      <c r="BV103" s="75"/>
      <c r="BW103" s="81" t="s">
        <v>338</v>
      </c>
      <c r="BX103" s="81" t="s">
        <v>362</v>
      </c>
      <c r="BY103" s="81" t="s">
        <v>362</v>
      </c>
      <c r="BZ103" s="81" t="s">
        <v>362</v>
      </c>
      <c r="CA103" s="81" t="s">
        <v>362</v>
      </c>
      <c r="CB103" s="81" t="s">
        <v>338</v>
      </c>
      <c r="CC103" s="77"/>
      <c r="CD103" s="77"/>
      <c r="CE103" s="81" t="s">
        <v>362</v>
      </c>
      <c r="CF103" s="77"/>
      <c r="CG103" s="81" t="s">
        <v>362</v>
      </c>
      <c r="CH103" s="77"/>
      <c r="CI103" s="77"/>
      <c r="CJ103" s="81" t="s">
        <v>362</v>
      </c>
      <c r="CK103" s="81" t="s">
        <v>338</v>
      </c>
      <c r="CL103" s="81" t="s">
        <v>362</v>
      </c>
      <c r="CM103" s="81" t="s">
        <v>362</v>
      </c>
      <c r="CN103" s="81" t="s">
        <v>362</v>
      </c>
      <c r="CO103" s="81" t="s">
        <v>338</v>
      </c>
      <c r="CP103" s="81" t="s">
        <v>362</v>
      </c>
      <c r="CQ103" s="81" t="s">
        <v>362</v>
      </c>
      <c r="CR103" s="81" t="s">
        <v>362</v>
      </c>
      <c r="CS103" s="81" t="s">
        <v>362</v>
      </c>
      <c r="CT103" s="81" t="s">
        <v>362</v>
      </c>
      <c r="CU103" s="81"/>
      <c r="CV103" s="75" t="s">
        <v>362</v>
      </c>
      <c r="CW103" s="75" t="s">
        <v>362</v>
      </c>
      <c r="CX103" s="75" t="s">
        <v>362</v>
      </c>
      <c r="CY103" s="75" t="s">
        <v>362</v>
      </c>
      <c r="CZ103" s="75" t="s">
        <v>362</v>
      </c>
      <c r="DA103" s="81"/>
      <c r="DC103" s="75" t="s">
        <v>362</v>
      </c>
      <c r="DD103" s="75" t="s">
        <v>362</v>
      </c>
      <c r="DE103" s="75" t="s">
        <v>362</v>
      </c>
      <c r="DF103" s="75" t="s">
        <v>362</v>
      </c>
      <c r="DJ103" s="75" t="s">
        <v>362</v>
      </c>
      <c r="DK103" s="75" t="s">
        <v>362</v>
      </c>
      <c r="DQ103" s="75" t="s">
        <v>362</v>
      </c>
      <c r="DS103" s="75" t="s">
        <v>362</v>
      </c>
      <c r="DV103" s="75" t="s">
        <v>362</v>
      </c>
      <c r="DW103" s="75" t="s">
        <v>362</v>
      </c>
      <c r="DZ103" s="75" t="s">
        <v>362</v>
      </c>
      <c r="EA103" s="75" t="s">
        <v>362</v>
      </c>
      <c r="EC103" s="75" t="s">
        <v>362</v>
      </c>
      <c r="ED103" s="75" t="s">
        <v>362</v>
      </c>
      <c r="EE103" s="75"/>
      <c r="EG103" s="75" t="s">
        <v>362</v>
      </c>
      <c r="EI103" s="75" t="s">
        <v>362</v>
      </c>
      <c r="EL103" s="75" t="s">
        <v>362</v>
      </c>
      <c r="EM103" s="75" t="s">
        <v>362</v>
      </c>
      <c r="EO103" s="75" t="s">
        <v>362</v>
      </c>
      <c r="EP103" s="75" t="s">
        <v>362</v>
      </c>
      <c r="ES103" s="75" t="s">
        <v>362</v>
      </c>
      <c r="ET103" s="75" t="s">
        <v>362</v>
      </c>
      <c r="EU103" s="75" t="s">
        <v>362</v>
      </c>
      <c r="FA103" s="75" t="s">
        <v>362</v>
      </c>
      <c r="FB103" s="75" t="s">
        <v>362</v>
      </c>
      <c r="FG103" s="81" t="s">
        <v>362</v>
      </c>
      <c r="FH103" s="81" t="s">
        <v>338</v>
      </c>
      <c r="FI103" s="81" t="s">
        <v>362</v>
      </c>
      <c r="FJ103" s="81" t="s">
        <v>362</v>
      </c>
      <c r="FK103" s="81" t="s">
        <v>362</v>
      </c>
      <c r="FM103" s="75" t="s">
        <v>362</v>
      </c>
      <c r="FN103" s="75" t="s">
        <v>362</v>
      </c>
      <c r="FQ103" s="75" t="s">
        <v>362</v>
      </c>
      <c r="FR103" s="75"/>
      <c r="FT103" s="75" t="s">
        <v>362</v>
      </c>
      <c r="FV103" s="75" t="s">
        <v>362</v>
      </c>
      <c r="FZ103" s="75" t="s">
        <v>362</v>
      </c>
      <c r="GB103" s="75" t="s">
        <v>362</v>
      </c>
      <c r="GC103" s="75" t="s">
        <v>362</v>
      </c>
      <c r="GF103" s="75" t="s">
        <v>362</v>
      </c>
      <c r="GH103" s="81" t="s">
        <v>362</v>
      </c>
      <c r="GI103" s="81" t="s">
        <v>338</v>
      </c>
      <c r="GJ103" s="81" t="s">
        <v>362</v>
      </c>
      <c r="GK103" s="81" t="s">
        <v>362</v>
      </c>
      <c r="GL103" s="81" t="s">
        <v>362</v>
      </c>
      <c r="GM103" s="81"/>
      <c r="GO103" s="75" t="s">
        <v>362</v>
      </c>
      <c r="GP103" s="75" t="s">
        <v>362</v>
      </c>
      <c r="GT103" s="75" t="s">
        <v>362</v>
      </c>
      <c r="GX103" s="75" t="s">
        <v>362</v>
      </c>
      <c r="HC103" s="75" t="s">
        <v>362</v>
      </c>
      <c r="HG103" s="75" t="s">
        <v>362</v>
      </c>
      <c r="HH103" s="75" t="s">
        <v>362</v>
      </c>
      <c r="HK103" s="75" t="s">
        <v>362</v>
      </c>
      <c r="HP103" s="75" t="s">
        <v>362</v>
      </c>
      <c r="HQ103" s="75" t="s">
        <v>362</v>
      </c>
      <c r="HV103" s="75" t="s">
        <v>362</v>
      </c>
      <c r="IB103" s="81" t="s">
        <v>362</v>
      </c>
      <c r="IC103" s="81" t="s">
        <v>338</v>
      </c>
      <c r="ID103" s="81" t="s">
        <v>338</v>
      </c>
      <c r="IE103" s="81" t="s">
        <v>338</v>
      </c>
      <c r="IF103" s="81" t="s">
        <v>362</v>
      </c>
      <c r="IG103" s="81" t="s">
        <v>362</v>
      </c>
      <c r="IH103" s="81"/>
      <c r="II103" s="75" t="s">
        <v>362</v>
      </c>
      <c r="IJ103" s="75" t="s">
        <v>362</v>
      </c>
      <c r="IK103" s="75" t="s">
        <v>362</v>
      </c>
      <c r="IL103" s="75" t="s">
        <v>362</v>
      </c>
      <c r="IM103" s="75" t="s">
        <v>362</v>
      </c>
      <c r="IN103" s="81"/>
      <c r="IT103" s="75" t="s">
        <v>362</v>
      </c>
      <c r="IY103" s="75" t="s">
        <v>362</v>
      </c>
      <c r="JC103" s="81" t="s">
        <v>362</v>
      </c>
      <c r="JE103" s="81" t="s">
        <v>362</v>
      </c>
      <c r="JF103" s="81" t="s">
        <v>338</v>
      </c>
      <c r="JG103" s="81" t="s">
        <v>338</v>
      </c>
      <c r="JH103" s="81" t="s">
        <v>338</v>
      </c>
      <c r="JI103" s="81" t="s">
        <v>338</v>
      </c>
      <c r="JJ103" s="81" t="s">
        <v>362</v>
      </c>
      <c r="JK103" s="81" t="s">
        <v>362</v>
      </c>
      <c r="JL103" s="81"/>
      <c r="JM103" s="81"/>
      <c r="JN103" s="75" t="s">
        <v>362</v>
      </c>
      <c r="JO103" s="81"/>
      <c r="JP103" s="81"/>
      <c r="JR103" s="75" t="s">
        <v>362</v>
      </c>
      <c r="JS103" s="75" t="s">
        <v>362</v>
      </c>
      <c r="JT103" s="75" t="s">
        <v>362</v>
      </c>
    </row>
    <row r="104" spans="1:280" x14ac:dyDescent="0.15">
      <c r="A104" s="104" t="s">
        <v>762</v>
      </c>
      <c r="B104" s="6" t="s">
        <v>591</v>
      </c>
      <c r="C104" s="6">
        <v>20000</v>
      </c>
      <c r="D104" s="6">
        <v>2</v>
      </c>
      <c r="E104" s="6">
        <v>5</v>
      </c>
      <c r="F104" s="6">
        <v>1</v>
      </c>
      <c r="G104" s="6" t="s">
        <v>36</v>
      </c>
      <c r="H104" s="6" t="s">
        <v>53</v>
      </c>
      <c r="I104" s="6" t="s">
        <v>96</v>
      </c>
      <c r="J104" s="21" t="s">
        <v>770</v>
      </c>
      <c r="K104" s="21">
        <v>0</v>
      </c>
      <c r="L104" s="21">
        <v>2</v>
      </c>
      <c r="M104" s="21">
        <v>0</v>
      </c>
      <c r="N104" s="21">
        <v>0</v>
      </c>
      <c r="O104" s="21">
        <v>0</v>
      </c>
      <c r="P104" s="23" t="str">
        <f>IF(TeamT[[#This Row],[General]]+TeamT[[#This Row],[Agility]]+TeamT[[#This Row],[Strength]]+TeamT[[#This Row],[Passing]]+TeamT[[#This Row],[Mutation]]&gt;0,IF(TeamT[[#This Row],[General]]=1,"G","")&amp;IF(TeamT[[#This Row],[Agility]]=1,"A","")&amp;IF(TeamT[[#This Row],[Strength]]=1,"S","")&amp;IF(TeamT[[#This Row],[Passing]]=1,"P","")&amp;IF(TeamT[[#This Row],[Mutation]]=1,"M",""),"Star")</f>
        <v/>
      </c>
      <c r="Q104" s="23" t="str">
        <f>IF(TeamT[[#This Row],[General]]=2,"G","")&amp;IF(TeamT[[#This Row],[Agility]]=2,"A","")&amp;IF(TeamT[[#This Row],[Strength]]=2,"S","")&amp;IF(TeamT[[#This Row],[Passing]]=2,"P","")&amp;IF(TeamT[[#This Row],[Mutation]]=2,"M","")</f>
        <v>A</v>
      </c>
      <c r="R104" s="212"/>
      <c r="S104" s="21">
        <v>3</v>
      </c>
      <c r="T104" s="21" t="s">
        <v>53</v>
      </c>
      <c r="U104" s="21">
        <v>6</v>
      </c>
      <c r="AA104" s="76" t="e">
        <f>HLOOKUP(Roster!$E$5,Team!$BL$2:$MK$128,103,FALSE)</f>
        <v>#N/A</v>
      </c>
      <c r="AB104" s="76" t="e">
        <f>HLOOKUP(Roster!$E$6,Team!$BL$2:$MK$128,103,FALSE)</f>
        <v>#N/A</v>
      </c>
      <c r="AC104" s="76" t="e">
        <f>HLOOKUP(Roster!$E$7,Team!$BL$2:$MK$128,103,FALSE)</f>
        <v>#N/A</v>
      </c>
      <c r="AD104" s="76" t="e">
        <f>HLOOKUP(Roster!$E$8,Team!$BL$2:$MK$128,103,FALSE)</f>
        <v>#N/A</v>
      </c>
      <c r="AE104" s="76" t="e">
        <f>HLOOKUP(Roster!$E$9,Team!$BL$2:$MK$128,103,FALSE)</f>
        <v>#N/A</v>
      </c>
      <c r="AF104" s="76" t="e">
        <f>HLOOKUP(Roster!$E$10,Team!$BL$2:$MK$128,103,FALSE)</f>
        <v>#N/A</v>
      </c>
      <c r="AG104" s="76" t="e">
        <f>HLOOKUP(Roster!$E$11,Team!$BL$2:$MK$128,103,FALSE)</f>
        <v>#N/A</v>
      </c>
      <c r="AH104" s="76" t="e">
        <f>HLOOKUP(Roster!$E$12,Team!$BL$2:$MK$128,103,FALSE)</f>
        <v>#N/A</v>
      </c>
      <c r="AI104" s="76" t="e">
        <f>HLOOKUP(Roster!$E$13,Team!$BL$2:$MK$128,103,FALSE)</f>
        <v>#N/A</v>
      </c>
      <c r="AJ104" s="76" t="e">
        <f>HLOOKUP(Roster!$E$14,Team!$BL$2:$MK$128,103,FALSE)</f>
        <v>#N/A</v>
      </c>
      <c r="AK104" s="76" t="e">
        <f>HLOOKUP(Roster!$E$15,Team!$BL$2:$MK$128,103,FALSE)</f>
        <v>#N/A</v>
      </c>
      <c r="AL104" s="76" t="e">
        <f>HLOOKUP(Roster!$E$16,Team!$BL$2:$MK$128,103,FALSE)</f>
        <v>#N/A</v>
      </c>
      <c r="AM104" s="76" t="e">
        <f>HLOOKUP(Roster!$E$17,Team!$BL$2:$MK$128,103,FALSE)</f>
        <v>#N/A</v>
      </c>
      <c r="AN104" s="76" t="e">
        <f>HLOOKUP(Roster!$E$18,Team!$BL$2:$MK$128,103,FALSE)</f>
        <v>#N/A</v>
      </c>
      <c r="AO104" s="76" t="e">
        <f>HLOOKUP(Roster!$E$19,Team!$BL$2:$MK$128,103,FALSE)</f>
        <v>#N/A</v>
      </c>
      <c r="AP104" s="76" t="e">
        <f>HLOOKUP(Roster!$E$20,Team!$BL$2:$MK$128,103,FALSE)</f>
        <v>#N/A</v>
      </c>
      <c r="AR104" s="108">
        <f t="shared" si="17"/>
        <v>0</v>
      </c>
      <c r="AS104" s="108">
        <f t="shared" si="18"/>
        <v>0</v>
      </c>
      <c r="AT104" s="108">
        <f t="shared" si="19"/>
        <v>0</v>
      </c>
      <c r="AU104" s="108">
        <f t="shared" si="20"/>
        <v>0</v>
      </c>
      <c r="AV104" s="108">
        <f t="shared" si="21"/>
        <v>0</v>
      </c>
      <c r="AW104" s="108">
        <f t="shared" si="22"/>
        <v>0</v>
      </c>
      <c r="AX104" s="108">
        <f t="shared" si="23"/>
        <v>0</v>
      </c>
      <c r="AY104" s="108">
        <f t="shared" si="24"/>
        <v>0</v>
      </c>
      <c r="AZ104" s="108">
        <f t="shared" si="25"/>
        <v>0</v>
      </c>
      <c r="BA104" s="108">
        <f t="shared" si="26"/>
        <v>0</v>
      </c>
      <c r="BB104" s="108">
        <f t="shared" si="27"/>
        <v>0</v>
      </c>
      <c r="BC104" s="108">
        <f t="shared" si="28"/>
        <v>0</v>
      </c>
      <c r="BD104" s="108">
        <f t="shared" si="29"/>
        <v>0</v>
      </c>
      <c r="BE104" s="108">
        <f t="shared" si="30"/>
        <v>0</v>
      </c>
      <c r="BF104" s="108">
        <f t="shared" si="31"/>
        <v>0</v>
      </c>
      <c r="BG104" s="108">
        <f t="shared" si="32"/>
        <v>0</v>
      </c>
      <c r="BL104" s="75"/>
      <c r="BM104" s="75" t="s">
        <v>363</v>
      </c>
      <c r="BN104" s="75"/>
      <c r="BO104" s="75"/>
      <c r="BP104" s="75"/>
      <c r="BQ104" s="75"/>
      <c r="BR104" s="75" t="s">
        <v>363</v>
      </c>
      <c r="BS104" s="75" t="s">
        <v>363</v>
      </c>
      <c r="BT104" s="75" t="s">
        <v>363</v>
      </c>
      <c r="BU104" s="75" t="s">
        <v>363</v>
      </c>
      <c r="BV104" s="75"/>
      <c r="BW104" s="81" t="s">
        <v>339</v>
      </c>
      <c r="BX104" s="81" t="s">
        <v>363</v>
      </c>
      <c r="BY104" s="81" t="s">
        <v>363</v>
      </c>
      <c r="BZ104" s="81" t="s">
        <v>363</v>
      </c>
      <c r="CA104" s="81" t="s">
        <v>363</v>
      </c>
      <c r="CB104" s="81" t="s">
        <v>339</v>
      </c>
      <c r="CC104" s="77"/>
      <c r="CD104" s="77"/>
      <c r="CE104" s="81" t="s">
        <v>363</v>
      </c>
      <c r="CF104" s="77"/>
      <c r="CG104" s="81" t="s">
        <v>363</v>
      </c>
      <c r="CH104" s="77"/>
      <c r="CI104" s="77"/>
      <c r="CJ104" s="81" t="s">
        <v>363</v>
      </c>
      <c r="CK104" s="81" t="s">
        <v>339</v>
      </c>
      <c r="CL104" s="81" t="s">
        <v>363</v>
      </c>
      <c r="CM104" s="81" t="s">
        <v>363</v>
      </c>
      <c r="CN104" s="81" t="s">
        <v>363</v>
      </c>
      <c r="CO104" s="81" t="s">
        <v>339</v>
      </c>
      <c r="CP104" s="81" t="s">
        <v>363</v>
      </c>
      <c r="CQ104" s="81" t="s">
        <v>363</v>
      </c>
      <c r="CR104" s="81" t="s">
        <v>363</v>
      </c>
      <c r="CS104" s="81" t="s">
        <v>363</v>
      </c>
      <c r="CT104" s="81" t="s">
        <v>363</v>
      </c>
      <c r="CU104" s="81"/>
      <c r="CV104" s="75" t="s">
        <v>363</v>
      </c>
      <c r="CW104" s="75" t="s">
        <v>363</v>
      </c>
      <c r="CX104" s="75" t="s">
        <v>363</v>
      </c>
      <c r="CY104" s="75" t="s">
        <v>363</v>
      </c>
      <c r="CZ104" s="75" t="s">
        <v>363</v>
      </c>
      <c r="DA104" s="81"/>
      <c r="DC104" s="75" t="s">
        <v>363</v>
      </c>
      <c r="DD104" s="75" t="s">
        <v>363</v>
      </c>
      <c r="DE104" s="75" t="s">
        <v>363</v>
      </c>
      <c r="DF104" s="75" t="s">
        <v>363</v>
      </c>
      <c r="DJ104" s="75" t="s">
        <v>363</v>
      </c>
      <c r="DK104" s="75" t="s">
        <v>363</v>
      </c>
      <c r="DQ104" s="75" t="s">
        <v>363</v>
      </c>
      <c r="DS104" s="75" t="s">
        <v>363</v>
      </c>
      <c r="DV104" s="75" t="s">
        <v>363</v>
      </c>
      <c r="DW104" s="75" t="s">
        <v>363</v>
      </c>
      <c r="DZ104" s="75" t="s">
        <v>363</v>
      </c>
      <c r="EA104" s="75" t="s">
        <v>363</v>
      </c>
      <c r="EC104" s="75" t="s">
        <v>363</v>
      </c>
      <c r="ED104" s="75" t="s">
        <v>363</v>
      </c>
      <c r="EE104" s="75"/>
      <c r="EG104" s="75" t="s">
        <v>363</v>
      </c>
      <c r="EI104" s="75" t="s">
        <v>363</v>
      </c>
      <c r="EL104" s="75" t="s">
        <v>363</v>
      </c>
      <c r="EM104" s="75" t="s">
        <v>363</v>
      </c>
      <c r="EO104" s="75" t="s">
        <v>363</v>
      </c>
      <c r="EP104" s="75" t="s">
        <v>363</v>
      </c>
      <c r="ES104" s="75" t="s">
        <v>363</v>
      </c>
      <c r="ET104" s="75" t="s">
        <v>363</v>
      </c>
      <c r="EU104" s="75" t="s">
        <v>363</v>
      </c>
      <c r="FA104" s="75" t="s">
        <v>363</v>
      </c>
      <c r="FB104" s="75" t="s">
        <v>363</v>
      </c>
      <c r="FG104" s="81" t="s">
        <v>363</v>
      </c>
      <c r="FH104" s="81" t="s">
        <v>339</v>
      </c>
      <c r="FI104" s="81" t="s">
        <v>363</v>
      </c>
      <c r="FJ104" s="81" t="s">
        <v>363</v>
      </c>
      <c r="FK104" s="81" t="s">
        <v>363</v>
      </c>
      <c r="FM104" s="75" t="s">
        <v>363</v>
      </c>
      <c r="FN104" s="75" t="s">
        <v>363</v>
      </c>
      <c r="FQ104" s="75" t="s">
        <v>363</v>
      </c>
      <c r="FR104" s="75"/>
      <c r="FT104" s="75" t="s">
        <v>363</v>
      </c>
      <c r="FV104" s="75" t="s">
        <v>363</v>
      </c>
      <c r="FZ104" s="75" t="s">
        <v>363</v>
      </c>
      <c r="GB104" s="75" t="s">
        <v>363</v>
      </c>
      <c r="GC104" s="75" t="s">
        <v>363</v>
      </c>
      <c r="GF104" s="75" t="s">
        <v>363</v>
      </c>
      <c r="GH104" s="81" t="s">
        <v>363</v>
      </c>
      <c r="GI104" s="81" t="s">
        <v>339</v>
      </c>
      <c r="GJ104" s="81" t="s">
        <v>363</v>
      </c>
      <c r="GK104" s="81" t="s">
        <v>363</v>
      </c>
      <c r="GL104" s="81" t="s">
        <v>363</v>
      </c>
      <c r="GM104" s="81"/>
      <c r="GO104" s="75" t="s">
        <v>363</v>
      </c>
      <c r="GP104" s="75" t="s">
        <v>363</v>
      </c>
      <c r="GT104" s="75" t="s">
        <v>363</v>
      </c>
      <c r="GX104" s="75" t="s">
        <v>363</v>
      </c>
      <c r="HC104" s="75" t="s">
        <v>363</v>
      </c>
      <c r="HG104" s="75" t="s">
        <v>363</v>
      </c>
      <c r="HH104" s="75" t="s">
        <v>363</v>
      </c>
      <c r="HK104" s="75" t="s">
        <v>363</v>
      </c>
      <c r="HP104" s="75" t="s">
        <v>363</v>
      </c>
      <c r="HQ104" s="75" t="s">
        <v>363</v>
      </c>
      <c r="HV104" s="75" t="s">
        <v>363</v>
      </c>
      <c r="IB104" s="81" t="s">
        <v>363</v>
      </c>
      <c r="IC104" s="81" t="s">
        <v>339</v>
      </c>
      <c r="ID104" s="81" t="s">
        <v>339</v>
      </c>
      <c r="IE104" s="81" t="s">
        <v>339</v>
      </c>
      <c r="IF104" s="81" t="s">
        <v>363</v>
      </c>
      <c r="IG104" s="81" t="s">
        <v>363</v>
      </c>
      <c r="IH104" s="81"/>
      <c r="II104" s="75" t="s">
        <v>363</v>
      </c>
      <c r="IJ104" s="75" t="s">
        <v>363</v>
      </c>
      <c r="IK104" s="75" t="s">
        <v>363</v>
      </c>
      <c r="IL104" s="75" t="s">
        <v>363</v>
      </c>
      <c r="IM104" s="75" t="s">
        <v>363</v>
      </c>
      <c r="IN104" s="81"/>
      <c r="IT104" s="75" t="s">
        <v>363</v>
      </c>
      <c r="IY104" s="75" t="s">
        <v>363</v>
      </c>
      <c r="JC104" s="81" t="s">
        <v>363</v>
      </c>
      <c r="JE104" s="81" t="s">
        <v>363</v>
      </c>
      <c r="JF104" s="81" t="s">
        <v>339</v>
      </c>
      <c r="JG104" s="81" t="s">
        <v>339</v>
      </c>
      <c r="JH104" s="81" t="s">
        <v>339</v>
      </c>
      <c r="JI104" s="81" t="s">
        <v>339</v>
      </c>
      <c r="JJ104" s="81" t="s">
        <v>363</v>
      </c>
      <c r="JK104" s="81" t="s">
        <v>363</v>
      </c>
      <c r="JL104" s="81"/>
      <c r="JM104" s="81"/>
      <c r="JN104" s="75" t="s">
        <v>363</v>
      </c>
      <c r="JO104" s="81"/>
      <c r="JP104" s="81"/>
      <c r="JR104" s="75" t="s">
        <v>363</v>
      </c>
      <c r="JS104" s="75" t="s">
        <v>363</v>
      </c>
      <c r="JT104" s="75" t="s">
        <v>363</v>
      </c>
    </row>
    <row r="105" spans="1:280" x14ac:dyDescent="0.15">
      <c r="A105" s="104" t="s">
        <v>602</v>
      </c>
      <c r="B105" s="6" t="s">
        <v>591</v>
      </c>
      <c r="C105" s="6">
        <v>90000</v>
      </c>
      <c r="D105" s="6">
        <v>2</v>
      </c>
      <c r="E105" s="6">
        <v>6</v>
      </c>
      <c r="F105" s="6">
        <v>3</v>
      </c>
      <c r="G105" s="6" t="s">
        <v>36</v>
      </c>
      <c r="H105" s="6" t="s">
        <v>40</v>
      </c>
      <c r="I105" s="6" t="s">
        <v>38</v>
      </c>
      <c r="J105" s="21" t="s">
        <v>605</v>
      </c>
      <c r="K105" s="21">
        <v>1</v>
      </c>
      <c r="L105" s="21">
        <v>2</v>
      </c>
      <c r="M105" s="21">
        <v>1</v>
      </c>
      <c r="N105" s="21">
        <v>2</v>
      </c>
      <c r="O105" s="21">
        <v>0</v>
      </c>
      <c r="P105" s="23" t="str">
        <f>IF(TeamT[[#This Row],[General]]+TeamT[[#This Row],[Agility]]+TeamT[[#This Row],[Strength]]+TeamT[[#This Row],[Passing]]+TeamT[[#This Row],[Mutation]]&gt;0,IF(TeamT[[#This Row],[General]]=1,"G","")&amp;IF(TeamT[[#This Row],[Agility]]=1,"A","")&amp;IF(TeamT[[#This Row],[Strength]]=1,"S","")&amp;IF(TeamT[[#This Row],[Passing]]=1,"P","")&amp;IF(TeamT[[#This Row],[Mutation]]=1,"M",""),"Star")</f>
        <v>GS</v>
      </c>
      <c r="Q105" s="23" t="str">
        <f>IF(TeamT[[#This Row],[General]]=2,"G","")&amp;IF(TeamT[[#This Row],[Agility]]=2,"A","")&amp;IF(TeamT[[#This Row],[Strength]]=2,"S","")&amp;IF(TeamT[[#This Row],[Passing]]=2,"P","")&amp;IF(TeamT[[#This Row],[Mutation]]=2,"M","")</f>
        <v>AP</v>
      </c>
      <c r="R105" s="212"/>
      <c r="S105" s="21">
        <v>3</v>
      </c>
      <c r="T105" s="21">
        <v>5</v>
      </c>
      <c r="U105" s="21">
        <v>8</v>
      </c>
      <c r="AA105" s="76" t="e">
        <f>HLOOKUP(Roster!$E$5,Team!$BL$2:$MK$128,104,FALSE)</f>
        <v>#N/A</v>
      </c>
      <c r="AB105" s="76" t="e">
        <f>HLOOKUP(Roster!$E$6,Team!$BL$2:$MK$128,104,FALSE)</f>
        <v>#N/A</v>
      </c>
      <c r="AC105" s="76" t="e">
        <f>HLOOKUP(Roster!$E$7,Team!$BL$2:$MK$128,104,FALSE)</f>
        <v>#N/A</v>
      </c>
      <c r="AD105" s="76" t="e">
        <f>HLOOKUP(Roster!$E$8,Team!$BL$2:$MK$128,104,FALSE)</f>
        <v>#N/A</v>
      </c>
      <c r="AE105" s="76" t="e">
        <f>HLOOKUP(Roster!$E$9,Team!$BL$2:$MK$128,104,FALSE)</f>
        <v>#N/A</v>
      </c>
      <c r="AF105" s="76" t="e">
        <f>HLOOKUP(Roster!$E$10,Team!$BL$2:$MK$128,104,FALSE)</f>
        <v>#N/A</v>
      </c>
      <c r="AG105" s="76" t="e">
        <f>HLOOKUP(Roster!$E$11,Team!$BL$2:$MK$128,104,FALSE)</f>
        <v>#N/A</v>
      </c>
      <c r="AH105" s="76" t="e">
        <f>HLOOKUP(Roster!$E$12,Team!$BL$2:$MK$128,104,FALSE)</f>
        <v>#N/A</v>
      </c>
      <c r="AI105" s="76" t="e">
        <f>HLOOKUP(Roster!$E$13,Team!$BL$2:$MK$128,104,FALSE)</f>
        <v>#N/A</v>
      </c>
      <c r="AJ105" s="76" t="e">
        <f>HLOOKUP(Roster!$E$14,Team!$BL$2:$MK$128,104,FALSE)</f>
        <v>#N/A</v>
      </c>
      <c r="AK105" s="76" t="e">
        <f>HLOOKUP(Roster!$E$15,Team!$BL$2:$MK$128,104,FALSE)</f>
        <v>#N/A</v>
      </c>
      <c r="AL105" s="76" t="e">
        <f>HLOOKUP(Roster!$E$16,Team!$BL$2:$MK$128,104,FALSE)</f>
        <v>#N/A</v>
      </c>
      <c r="AM105" s="76" t="e">
        <f>HLOOKUP(Roster!$E$17,Team!$BL$2:$MK$128,104,FALSE)</f>
        <v>#N/A</v>
      </c>
      <c r="AN105" s="76" t="e">
        <f>HLOOKUP(Roster!$E$18,Team!$BL$2:$MK$128,104,FALSE)</f>
        <v>#N/A</v>
      </c>
      <c r="AO105" s="76" t="e">
        <f>HLOOKUP(Roster!$E$19,Team!$BL$2:$MK$128,104,FALSE)</f>
        <v>#N/A</v>
      </c>
      <c r="AP105" s="76" t="e">
        <f>HLOOKUP(Roster!$E$20,Team!$BL$2:$MK$128,104,FALSE)</f>
        <v>#N/A</v>
      </c>
      <c r="AR105" s="108">
        <f t="shared" si="17"/>
        <v>0</v>
      </c>
      <c r="AS105" s="108">
        <f t="shared" si="18"/>
        <v>0</v>
      </c>
      <c r="AT105" s="108">
        <f t="shared" si="19"/>
        <v>0</v>
      </c>
      <c r="AU105" s="108">
        <f t="shared" si="20"/>
        <v>0</v>
      </c>
      <c r="AV105" s="108">
        <f t="shared" si="21"/>
        <v>0</v>
      </c>
      <c r="AW105" s="108">
        <f t="shared" si="22"/>
        <v>0</v>
      </c>
      <c r="AX105" s="108">
        <f t="shared" si="23"/>
        <v>0</v>
      </c>
      <c r="AY105" s="108">
        <f t="shared" si="24"/>
        <v>0</v>
      </c>
      <c r="AZ105" s="108">
        <f t="shared" si="25"/>
        <v>0</v>
      </c>
      <c r="BA105" s="108">
        <f t="shared" si="26"/>
        <v>0</v>
      </c>
      <c r="BB105" s="108">
        <f t="shared" si="27"/>
        <v>0</v>
      </c>
      <c r="BC105" s="108">
        <f t="shared" si="28"/>
        <v>0</v>
      </c>
      <c r="BD105" s="108">
        <f t="shared" si="29"/>
        <v>0</v>
      </c>
      <c r="BE105" s="108">
        <f t="shared" si="30"/>
        <v>0</v>
      </c>
      <c r="BF105" s="108">
        <f t="shared" si="31"/>
        <v>0</v>
      </c>
      <c r="BG105" s="108">
        <f t="shared" si="32"/>
        <v>0</v>
      </c>
      <c r="BL105" s="76"/>
      <c r="BN105" s="76"/>
      <c r="BO105" s="76"/>
      <c r="BP105" s="76"/>
      <c r="BQ105" s="76"/>
      <c r="BR105" s="76"/>
      <c r="BS105" s="77"/>
      <c r="BT105" s="77"/>
      <c r="BW105" s="81" t="s">
        <v>340</v>
      </c>
      <c r="BX105" s="79"/>
      <c r="BY105" s="79"/>
      <c r="BZ105" s="79"/>
      <c r="CA105" s="79"/>
      <c r="CB105" s="81" t="s">
        <v>340</v>
      </c>
      <c r="CC105" s="77"/>
      <c r="CD105" s="77"/>
      <c r="CE105" s="79"/>
      <c r="CF105" s="77"/>
      <c r="CG105" s="79"/>
      <c r="CH105" s="77"/>
      <c r="CI105" s="77"/>
      <c r="CK105" s="81" t="s">
        <v>340</v>
      </c>
      <c r="CO105" s="81" t="s">
        <v>340</v>
      </c>
      <c r="FH105" s="81" t="s">
        <v>340</v>
      </c>
      <c r="GI105" s="81" t="s">
        <v>340</v>
      </c>
      <c r="IC105" s="81" t="s">
        <v>340</v>
      </c>
      <c r="ID105" s="81" t="s">
        <v>340</v>
      </c>
      <c r="IE105" s="81" t="s">
        <v>340</v>
      </c>
      <c r="JF105" s="81" t="s">
        <v>340</v>
      </c>
      <c r="JG105" s="81" t="s">
        <v>340</v>
      </c>
      <c r="JH105" s="81" t="s">
        <v>340</v>
      </c>
      <c r="JI105" s="81" t="s">
        <v>340</v>
      </c>
    </row>
    <row r="106" spans="1:280" x14ac:dyDescent="0.15">
      <c r="A106" s="104" t="s">
        <v>763</v>
      </c>
      <c r="B106" s="6" t="s">
        <v>591</v>
      </c>
      <c r="C106" s="6">
        <v>95000</v>
      </c>
      <c r="D106" s="6">
        <v>2</v>
      </c>
      <c r="E106" s="6">
        <v>7</v>
      </c>
      <c r="F106" s="6">
        <v>3</v>
      </c>
      <c r="G106" s="6" t="s">
        <v>36</v>
      </c>
      <c r="H106" s="6" t="s">
        <v>36</v>
      </c>
      <c r="I106" s="6" t="s">
        <v>38</v>
      </c>
      <c r="J106" s="21" t="s">
        <v>771</v>
      </c>
      <c r="K106" s="21">
        <v>1</v>
      </c>
      <c r="L106" s="21">
        <v>1</v>
      </c>
      <c r="M106" s="21">
        <v>2</v>
      </c>
      <c r="N106" s="21">
        <v>1</v>
      </c>
      <c r="O106" s="21">
        <v>0</v>
      </c>
      <c r="P106" s="23" t="str">
        <f>IF(TeamT[[#This Row],[General]]+TeamT[[#This Row],[Agility]]+TeamT[[#This Row],[Strength]]+TeamT[[#This Row],[Passing]]+TeamT[[#This Row],[Mutation]]&gt;0,IF(TeamT[[#This Row],[General]]=1,"G","")&amp;IF(TeamT[[#This Row],[Agility]]=1,"A","")&amp;IF(TeamT[[#This Row],[Strength]]=1,"S","")&amp;IF(TeamT[[#This Row],[Passing]]=1,"P","")&amp;IF(TeamT[[#This Row],[Mutation]]=1,"M",""),"Star")</f>
        <v>GAP</v>
      </c>
      <c r="Q106" s="23" t="str">
        <f>IF(TeamT[[#This Row],[General]]=2,"G","")&amp;IF(TeamT[[#This Row],[Agility]]=2,"A","")&amp;IF(TeamT[[#This Row],[Strength]]=2,"S","")&amp;IF(TeamT[[#This Row],[Passing]]=2,"P","")&amp;IF(TeamT[[#This Row],[Mutation]]=2,"M","")</f>
        <v>S</v>
      </c>
      <c r="R106" s="212"/>
      <c r="S106" s="21">
        <v>3</v>
      </c>
      <c r="T106" s="21">
        <v>3</v>
      </c>
      <c r="U106" s="21">
        <v>8</v>
      </c>
      <c r="AA106" s="76" t="e">
        <f>HLOOKUP(Roster!$E$5,Team!$BL$2:$MK$128,105,FALSE)</f>
        <v>#N/A</v>
      </c>
      <c r="AB106" s="76" t="e">
        <f>HLOOKUP(Roster!$E$6,Team!$BL$2:$MK$128,105,FALSE)</f>
        <v>#N/A</v>
      </c>
      <c r="AC106" s="76" t="e">
        <f>HLOOKUP(Roster!$E$7,Team!$BL$2:$MK$128,105,FALSE)</f>
        <v>#N/A</v>
      </c>
      <c r="AD106" s="76" t="e">
        <f>HLOOKUP(Roster!$E$8,Team!$BL$2:$MK$128,105,FALSE)</f>
        <v>#N/A</v>
      </c>
      <c r="AE106" s="76" t="e">
        <f>HLOOKUP(Roster!$E$9,Team!$BL$2:$MK$128,105,FALSE)</f>
        <v>#N/A</v>
      </c>
      <c r="AF106" s="76" t="e">
        <f>HLOOKUP(Roster!$E$10,Team!$BL$2:$MK$128,105,FALSE)</f>
        <v>#N/A</v>
      </c>
      <c r="AG106" s="76" t="e">
        <f>HLOOKUP(Roster!$E$11,Team!$BL$2:$MK$128,105,FALSE)</f>
        <v>#N/A</v>
      </c>
      <c r="AH106" s="76" t="e">
        <f>HLOOKUP(Roster!$E$12,Team!$BL$2:$MK$128,105,FALSE)</f>
        <v>#N/A</v>
      </c>
      <c r="AI106" s="76" t="e">
        <f>HLOOKUP(Roster!$E$13,Team!$BL$2:$MK$128,105,FALSE)</f>
        <v>#N/A</v>
      </c>
      <c r="AJ106" s="76" t="e">
        <f>HLOOKUP(Roster!$E$14,Team!$BL$2:$MK$128,105,FALSE)</f>
        <v>#N/A</v>
      </c>
      <c r="AK106" s="76" t="e">
        <f>HLOOKUP(Roster!$E$15,Team!$BL$2:$MK$128,105,FALSE)</f>
        <v>#N/A</v>
      </c>
      <c r="AL106" s="76" t="e">
        <f>HLOOKUP(Roster!$E$16,Team!$BL$2:$MK$128,105,FALSE)</f>
        <v>#N/A</v>
      </c>
      <c r="AM106" s="76" t="e">
        <f>HLOOKUP(Roster!$E$17,Team!$BL$2:$MK$128,105,FALSE)</f>
        <v>#N/A</v>
      </c>
      <c r="AN106" s="76" t="e">
        <f>HLOOKUP(Roster!$E$18,Team!$BL$2:$MK$128,105,FALSE)</f>
        <v>#N/A</v>
      </c>
      <c r="AO106" s="76" t="e">
        <f>HLOOKUP(Roster!$E$19,Team!$BL$2:$MK$128,105,FALSE)</f>
        <v>#N/A</v>
      </c>
      <c r="AP106" s="76" t="e">
        <f>HLOOKUP(Roster!$E$20,Team!$BL$2:$MK$128,105,FALSE)</f>
        <v>#N/A</v>
      </c>
      <c r="AR106" s="108">
        <f t="shared" si="17"/>
        <v>0</v>
      </c>
      <c r="AS106" s="108">
        <f t="shared" si="18"/>
        <v>0</v>
      </c>
      <c r="AT106" s="108">
        <f t="shared" si="19"/>
        <v>0</v>
      </c>
      <c r="AU106" s="108">
        <f t="shared" si="20"/>
        <v>0</v>
      </c>
      <c r="AV106" s="108">
        <f t="shared" si="21"/>
        <v>0</v>
      </c>
      <c r="AW106" s="108">
        <f t="shared" si="22"/>
        <v>0</v>
      </c>
      <c r="AX106" s="108">
        <f t="shared" si="23"/>
        <v>0</v>
      </c>
      <c r="AY106" s="108">
        <f t="shared" si="24"/>
        <v>0</v>
      </c>
      <c r="AZ106" s="108">
        <f t="shared" si="25"/>
        <v>0</v>
      </c>
      <c r="BA106" s="108">
        <f t="shared" si="26"/>
        <v>0</v>
      </c>
      <c r="BB106" s="108">
        <f t="shared" si="27"/>
        <v>0</v>
      </c>
      <c r="BC106" s="108">
        <f t="shared" si="28"/>
        <v>0</v>
      </c>
      <c r="BD106" s="108">
        <f t="shared" si="29"/>
        <v>0</v>
      </c>
      <c r="BE106" s="108">
        <f t="shared" si="30"/>
        <v>0</v>
      </c>
      <c r="BF106" s="108">
        <f t="shared" si="31"/>
        <v>0</v>
      </c>
      <c r="BG106" s="108">
        <f t="shared" si="32"/>
        <v>0</v>
      </c>
      <c r="BL106" s="76"/>
      <c r="BN106" s="76"/>
      <c r="BO106" s="76"/>
      <c r="BP106" s="76"/>
      <c r="BQ106" s="76"/>
      <c r="BR106" s="76"/>
      <c r="BS106" s="77"/>
      <c r="BT106" s="77"/>
      <c r="BW106" s="81" t="s">
        <v>341</v>
      </c>
      <c r="BX106" s="79"/>
      <c r="BY106" s="79"/>
      <c r="BZ106" s="79"/>
      <c r="CA106" s="79"/>
      <c r="CB106" s="81" t="s">
        <v>341</v>
      </c>
      <c r="CC106" s="77"/>
      <c r="CD106" s="77"/>
      <c r="CE106" s="79"/>
      <c r="CF106" s="77"/>
      <c r="CG106" s="79"/>
      <c r="CH106" s="77"/>
      <c r="CI106" s="77"/>
      <c r="CK106" s="81" t="s">
        <v>341</v>
      </c>
      <c r="CO106" s="81" t="s">
        <v>341</v>
      </c>
      <c r="FH106" s="81" t="s">
        <v>341</v>
      </c>
      <c r="GI106" s="81" t="s">
        <v>341</v>
      </c>
      <c r="IC106" s="81" t="s">
        <v>341</v>
      </c>
      <c r="ID106" s="81" t="s">
        <v>341</v>
      </c>
      <c r="IE106" s="81" t="s">
        <v>341</v>
      </c>
      <c r="JF106" s="81" t="s">
        <v>341</v>
      </c>
      <c r="JG106" s="81" t="s">
        <v>341</v>
      </c>
      <c r="JH106" s="81" t="s">
        <v>341</v>
      </c>
      <c r="JI106" s="81" t="s">
        <v>341</v>
      </c>
    </row>
    <row r="107" spans="1:280" x14ac:dyDescent="0.15">
      <c r="A107" s="104" t="s">
        <v>603</v>
      </c>
      <c r="B107" s="6" t="s">
        <v>591</v>
      </c>
      <c r="C107" s="6">
        <v>105000</v>
      </c>
      <c r="D107" s="6">
        <v>2</v>
      </c>
      <c r="E107" s="6">
        <v>6</v>
      </c>
      <c r="F107" s="6">
        <v>4</v>
      </c>
      <c r="G107" s="6" t="s">
        <v>37</v>
      </c>
      <c r="H107" s="6" t="s">
        <v>53</v>
      </c>
      <c r="I107" s="6" t="s">
        <v>46</v>
      </c>
      <c r="J107" s="21" t="s">
        <v>606</v>
      </c>
      <c r="K107" s="21">
        <v>1</v>
      </c>
      <c r="L107" s="21">
        <v>2</v>
      </c>
      <c r="M107" s="21">
        <v>1</v>
      </c>
      <c r="N107" s="21">
        <v>0</v>
      </c>
      <c r="O107" s="21">
        <v>0</v>
      </c>
      <c r="P107" s="23" t="str">
        <f>IF(TeamT[[#This Row],[General]]+TeamT[[#This Row],[Agility]]+TeamT[[#This Row],[Strength]]+TeamT[[#This Row],[Passing]]+TeamT[[#This Row],[Mutation]]&gt;0,IF(TeamT[[#This Row],[General]]=1,"G","")&amp;IF(TeamT[[#This Row],[Agility]]=1,"A","")&amp;IF(TeamT[[#This Row],[Strength]]=1,"S","")&amp;IF(TeamT[[#This Row],[Passing]]=1,"P","")&amp;IF(TeamT[[#This Row],[Mutation]]=1,"M",""),"Star")</f>
        <v>GS</v>
      </c>
      <c r="Q107" s="23" t="str">
        <f>IF(TeamT[[#This Row],[General]]=2,"G","")&amp;IF(TeamT[[#This Row],[Agility]]=2,"A","")&amp;IF(TeamT[[#This Row],[Strength]]=2,"S","")&amp;IF(TeamT[[#This Row],[Passing]]=2,"P","")&amp;IF(TeamT[[#This Row],[Mutation]]=2,"M","")</f>
        <v>A</v>
      </c>
      <c r="R107" s="212"/>
      <c r="S107" s="21">
        <v>4</v>
      </c>
      <c r="T107" s="21" t="s">
        <v>53</v>
      </c>
      <c r="U107" s="21">
        <v>9</v>
      </c>
      <c r="AA107" s="76" t="e">
        <f>HLOOKUP(Roster!$E$5,Team!$BL$2:$MK$128,106,FALSE)</f>
        <v>#N/A</v>
      </c>
      <c r="AB107" s="76" t="e">
        <f>HLOOKUP(Roster!$E$6,Team!$BL$2:$MK$128,106,FALSE)</f>
        <v>#N/A</v>
      </c>
      <c r="AC107" s="76" t="e">
        <f>HLOOKUP(Roster!$E$7,Team!$BL$2:$MK$128,106,FALSE)</f>
        <v>#N/A</v>
      </c>
      <c r="AD107" s="76" t="e">
        <f>HLOOKUP(Roster!$E$8,Team!$BL$2:$MK$128,106,FALSE)</f>
        <v>#N/A</v>
      </c>
      <c r="AE107" s="76" t="e">
        <f>HLOOKUP(Roster!$E$9,Team!$BL$2:$MK$128,106,FALSE)</f>
        <v>#N/A</v>
      </c>
      <c r="AF107" s="76" t="e">
        <f>HLOOKUP(Roster!$E$10,Team!$BL$2:$MK$128,106,FALSE)</f>
        <v>#N/A</v>
      </c>
      <c r="AG107" s="76" t="e">
        <f>HLOOKUP(Roster!$E$11,Team!$BL$2:$MK$128,106,FALSE)</f>
        <v>#N/A</v>
      </c>
      <c r="AH107" s="76" t="e">
        <f>HLOOKUP(Roster!$E$12,Team!$BL$2:$MK$128,106,FALSE)</f>
        <v>#N/A</v>
      </c>
      <c r="AI107" s="76" t="e">
        <f>HLOOKUP(Roster!$E$13,Team!$BL$2:$MK$128,106,FALSE)</f>
        <v>#N/A</v>
      </c>
      <c r="AJ107" s="76" t="e">
        <f>HLOOKUP(Roster!$E$14,Team!$BL$2:$MK$128,106,FALSE)</f>
        <v>#N/A</v>
      </c>
      <c r="AK107" s="76" t="e">
        <f>HLOOKUP(Roster!$E$15,Team!$BL$2:$MK$128,106,FALSE)</f>
        <v>#N/A</v>
      </c>
      <c r="AL107" s="76" t="e">
        <f>HLOOKUP(Roster!$E$16,Team!$BL$2:$MK$128,106,FALSE)</f>
        <v>#N/A</v>
      </c>
      <c r="AM107" s="76" t="e">
        <f>HLOOKUP(Roster!$E$17,Team!$BL$2:$MK$128,106,FALSE)</f>
        <v>#N/A</v>
      </c>
      <c r="AN107" s="76" t="e">
        <f>HLOOKUP(Roster!$E$18,Team!$BL$2:$MK$128,106,FALSE)</f>
        <v>#N/A</v>
      </c>
      <c r="AO107" s="76" t="e">
        <f>HLOOKUP(Roster!$E$19,Team!$BL$2:$MK$128,106,FALSE)</f>
        <v>#N/A</v>
      </c>
      <c r="AP107" s="76" t="e">
        <f>HLOOKUP(Roster!$E$20,Team!$BL$2:$MK$128,106,FALSE)</f>
        <v>#N/A</v>
      </c>
      <c r="AR107" s="108">
        <f t="shared" si="17"/>
        <v>0</v>
      </c>
      <c r="AS107" s="108">
        <f t="shared" si="18"/>
        <v>0</v>
      </c>
      <c r="AT107" s="108">
        <f t="shared" si="19"/>
        <v>0</v>
      </c>
      <c r="AU107" s="108">
        <f t="shared" si="20"/>
        <v>0</v>
      </c>
      <c r="AV107" s="108">
        <f t="shared" si="21"/>
        <v>0</v>
      </c>
      <c r="AW107" s="108">
        <f t="shared" si="22"/>
        <v>0</v>
      </c>
      <c r="AX107" s="108">
        <f t="shared" si="23"/>
        <v>0</v>
      </c>
      <c r="AY107" s="108">
        <f t="shared" si="24"/>
        <v>0</v>
      </c>
      <c r="AZ107" s="108">
        <f t="shared" si="25"/>
        <v>0</v>
      </c>
      <c r="BA107" s="108">
        <f t="shared" si="26"/>
        <v>0</v>
      </c>
      <c r="BB107" s="108">
        <f t="shared" si="27"/>
        <v>0</v>
      </c>
      <c r="BC107" s="108">
        <f t="shared" si="28"/>
        <v>0</v>
      </c>
      <c r="BD107" s="108">
        <f t="shared" si="29"/>
        <v>0</v>
      </c>
      <c r="BE107" s="108">
        <f t="shared" si="30"/>
        <v>0</v>
      </c>
      <c r="BF107" s="108">
        <f t="shared" si="31"/>
        <v>0</v>
      </c>
      <c r="BG107" s="108">
        <f t="shared" si="32"/>
        <v>0</v>
      </c>
      <c r="BL107" s="76"/>
      <c r="BN107" s="76"/>
      <c r="BO107" s="76"/>
      <c r="BP107" s="76"/>
      <c r="BQ107" s="76"/>
      <c r="BR107" s="76"/>
      <c r="BS107" s="77"/>
      <c r="BT107" s="77"/>
      <c r="BW107" s="81" t="s">
        <v>342</v>
      </c>
      <c r="BX107" s="79"/>
      <c r="BY107" s="79"/>
      <c r="BZ107" s="79"/>
      <c r="CA107" s="79"/>
      <c r="CB107" s="81" t="s">
        <v>342</v>
      </c>
      <c r="CC107" s="77"/>
      <c r="CD107" s="77"/>
      <c r="CE107" s="79"/>
      <c r="CF107" s="77"/>
      <c r="CG107" s="79"/>
      <c r="CH107" s="77"/>
      <c r="CI107" s="77"/>
      <c r="CK107" s="81" t="s">
        <v>342</v>
      </c>
      <c r="CO107" s="81" t="s">
        <v>342</v>
      </c>
      <c r="FH107" s="81" t="s">
        <v>342</v>
      </c>
      <c r="GI107" s="81" t="s">
        <v>342</v>
      </c>
      <c r="IC107" s="81" t="s">
        <v>342</v>
      </c>
      <c r="ID107" s="81" t="s">
        <v>342</v>
      </c>
      <c r="IE107" s="81" t="s">
        <v>342</v>
      </c>
      <c r="JF107" s="81" t="s">
        <v>342</v>
      </c>
      <c r="JG107" s="81" t="s">
        <v>342</v>
      </c>
      <c r="JH107" s="81" t="s">
        <v>342</v>
      </c>
      <c r="JI107" s="81" t="s">
        <v>342</v>
      </c>
    </row>
    <row r="108" spans="1:280" x14ac:dyDescent="0.15">
      <c r="A108" s="103" t="s">
        <v>604</v>
      </c>
      <c r="B108" s="6" t="s">
        <v>591</v>
      </c>
      <c r="C108" s="6">
        <v>140000</v>
      </c>
      <c r="D108" s="6">
        <v>1</v>
      </c>
      <c r="E108" s="6">
        <v>5</v>
      </c>
      <c r="F108" s="6">
        <v>5</v>
      </c>
      <c r="G108" s="6" t="s">
        <v>37</v>
      </c>
      <c r="H108" s="6" t="s">
        <v>53</v>
      </c>
      <c r="I108" s="6" t="s">
        <v>46</v>
      </c>
      <c r="J108" s="21" t="s">
        <v>607</v>
      </c>
      <c r="K108" s="21">
        <v>2</v>
      </c>
      <c r="L108" s="21">
        <v>2</v>
      </c>
      <c r="M108" s="21">
        <v>1</v>
      </c>
      <c r="N108" s="21">
        <v>0</v>
      </c>
      <c r="O108" s="21">
        <v>0</v>
      </c>
      <c r="P108" s="23" t="str">
        <f>IF(TeamT[[#This Row],[General]]+TeamT[[#This Row],[Agility]]+TeamT[[#This Row],[Strength]]+TeamT[[#This Row],[Passing]]+TeamT[[#This Row],[Mutation]]&gt;0,IF(TeamT[[#This Row],[General]]=1,"G","")&amp;IF(TeamT[[#This Row],[Agility]]=1,"A","")&amp;IF(TeamT[[#This Row],[Strength]]=1,"S","")&amp;IF(TeamT[[#This Row],[Passing]]=1,"P","")&amp;IF(TeamT[[#This Row],[Mutation]]=1,"M",""),"Star")</f>
        <v>S</v>
      </c>
      <c r="Q108" s="23" t="str">
        <f>IF(TeamT[[#This Row],[General]]=2,"G","")&amp;IF(TeamT[[#This Row],[Agility]]=2,"A","")&amp;IF(TeamT[[#This Row],[Strength]]=2,"S","")&amp;IF(TeamT[[#This Row],[Passing]]=2,"P","")&amp;IF(TeamT[[#This Row],[Mutation]]=2,"M","")</f>
        <v>GA</v>
      </c>
      <c r="R108" s="212"/>
      <c r="S108" s="21">
        <v>4</v>
      </c>
      <c r="T108" s="21" t="s">
        <v>53</v>
      </c>
      <c r="U108" s="21">
        <v>9</v>
      </c>
      <c r="AA108" s="76" t="e">
        <f>HLOOKUP(Roster!$E$5,Team!$BL$2:$MK$128,107,FALSE)</f>
        <v>#N/A</v>
      </c>
      <c r="AB108" s="76" t="e">
        <f>HLOOKUP(Roster!$E$6,Team!$BL$2:$MK$128,107,FALSE)</f>
        <v>#N/A</v>
      </c>
      <c r="AC108" s="76" t="e">
        <f>HLOOKUP(Roster!$E$7,Team!$BL$2:$MK$128,107,FALSE)</f>
        <v>#N/A</v>
      </c>
      <c r="AD108" s="76" t="e">
        <f>HLOOKUP(Roster!$E$8,Team!$BL$2:$MK$128,107,FALSE)</f>
        <v>#N/A</v>
      </c>
      <c r="AE108" s="76" t="e">
        <f>HLOOKUP(Roster!$E$9,Team!$BL$2:$MK$128,107,FALSE)</f>
        <v>#N/A</v>
      </c>
      <c r="AF108" s="76" t="e">
        <f>HLOOKUP(Roster!$E$10,Team!$BL$2:$MK$128,107,FALSE)</f>
        <v>#N/A</v>
      </c>
      <c r="AG108" s="76" t="e">
        <f>HLOOKUP(Roster!$E$11,Team!$BL$2:$MK$128,107,FALSE)</f>
        <v>#N/A</v>
      </c>
      <c r="AH108" s="76" t="e">
        <f>HLOOKUP(Roster!$E$12,Team!$BL$2:$MK$128,107,FALSE)</f>
        <v>#N/A</v>
      </c>
      <c r="AI108" s="76" t="e">
        <f>HLOOKUP(Roster!$E$13,Team!$BL$2:$MK$128,107,FALSE)</f>
        <v>#N/A</v>
      </c>
      <c r="AJ108" s="76" t="e">
        <f>HLOOKUP(Roster!$E$14,Team!$BL$2:$MK$128,107,FALSE)</f>
        <v>#N/A</v>
      </c>
      <c r="AK108" s="76" t="e">
        <f>HLOOKUP(Roster!$E$15,Team!$BL$2:$MK$128,107,FALSE)</f>
        <v>#N/A</v>
      </c>
      <c r="AL108" s="76" t="e">
        <f>HLOOKUP(Roster!$E$16,Team!$BL$2:$MK$128,107,FALSE)</f>
        <v>#N/A</v>
      </c>
      <c r="AM108" s="76" t="e">
        <f>HLOOKUP(Roster!$E$17,Team!$BL$2:$MK$128,107,FALSE)</f>
        <v>#N/A</v>
      </c>
      <c r="AN108" s="76" t="e">
        <f>HLOOKUP(Roster!$E$18,Team!$BL$2:$MK$128,107,FALSE)</f>
        <v>#N/A</v>
      </c>
      <c r="AO108" s="76" t="e">
        <f>HLOOKUP(Roster!$E$19,Team!$BL$2:$MK$128,107,FALSE)</f>
        <v>#N/A</v>
      </c>
      <c r="AP108" s="76" t="e">
        <f>HLOOKUP(Roster!$E$20,Team!$BL$2:$MK$128,107,FALSE)</f>
        <v>#N/A</v>
      </c>
      <c r="AR108" s="108">
        <f t="shared" si="17"/>
        <v>0</v>
      </c>
      <c r="AS108" s="108">
        <f t="shared" si="18"/>
        <v>0</v>
      </c>
      <c r="AT108" s="108">
        <f t="shared" si="19"/>
        <v>0</v>
      </c>
      <c r="AU108" s="108">
        <f t="shared" si="20"/>
        <v>0</v>
      </c>
      <c r="AV108" s="108">
        <f t="shared" si="21"/>
        <v>0</v>
      </c>
      <c r="AW108" s="108">
        <f t="shared" si="22"/>
        <v>0</v>
      </c>
      <c r="AX108" s="108">
        <f t="shared" si="23"/>
        <v>0</v>
      </c>
      <c r="AY108" s="108">
        <f t="shared" si="24"/>
        <v>0</v>
      </c>
      <c r="AZ108" s="108">
        <f t="shared" si="25"/>
        <v>0</v>
      </c>
      <c r="BA108" s="108">
        <f t="shared" si="26"/>
        <v>0</v>
      </c>
      <c r="BB108" s="108">
        <f t="shared" si="27"/>
        <v>0</v>
      </c>
      <c r="BC108" s="108">
        <f t="shared" si="28"/>
        <v>0</v>
      </c>
      <c r="BD108" s="108">
        <f t="shared" si="29"/>
        <v>0</v>
      </c>
      <c r="BE108" s="108">
        <f t="shared" si="30"/>
        <v>0</v>
      </c>
      <c r="BF108" s="108">
        <f t="shared" si="31"/>
        <v>0</v>
      </c>
      <c r="BG108" s="108">
        <f t="shared" si="32"/>
        <v>0</v>
      </c>
      <c r="BL108" s="76"/>
      <c r="BN108" s="76"/>
      <c r="BO108" s="76"/>
      <c r="BP108" s="76"/>
      <c r="BQ108" s="76"/>
      <c r="BR108" s="76"/>
      <c r="BS108" s="77"/>
      <c r="BT108" s="77"/>
      <c r="BW108" s="81" t="s">
        <v>343</v>
      </c>
      <c r="BX108" s="79"/>
      <c r="BY108" s="79"/>
      <c r="BZ108" s="79"/>
      <c r="CA108" s="79"/>
      <c r="CB108" s="81" t="s">
        <v>343</v>
      </c>
      <c r="CC108" s="77"/>
      <c r="CD108" s="77"/>
      <c r="CE108" s="79"/>
      <c r="CF108" s="77"/>
      <c r="CG108" s="79"/>
      <c r="CH108" s="77"/>
      <c r="CI108" s="77"/>
      <c r="CK108" s="81" t="s">
        <v>343</v>
      </c>
      <c r="CO108" s="81" t="s">
        <v>343</v>
      </c>
      <c r="FH108" s="81" t="s">
        <v>343</v>
      </c>
      <c r="GI108" s="81" t="s">
        <v>343</v>
      </c>
      <c r="IC108" s="81" t="s">
        <v>343</v>
      </c>
      <c r="ID108" s="81" t="s">
        <v>343</v>
      </c>
      <c r="IE108" s="81" t="s">
        <v>343</v>
      </c>
      <c r="JF108" s="81" t="s">
        <v>343</v>
      </c>
      <c r="JG108" s="81" t="s">
        <v>343</v>
      </c>
      <c r="JH108" s="81" t="s">
        <v>343</v>
      </c>
      <c r="JI108" s="81" t="s">
        <v>343</v>
      </c>
    </row>
    <row r="109" spans="1:280" x14ac:dyDescent="0.15">
      <c r="A109" s="95" t="s">
        <v>764</v>
      </c>
      <c r="B109" s="6" t="s">
        <v>591</v>
      </c>
      <c r="C109" s="6">
        <v>50000</v>
      </c>
      <c r="D109" s="6">
        <v>11</v>
      </c>
      <c r="E109" s="6">
        <v>6</v>
      </c>
      <c r="F109" s="6">
        <v>3</v>
      </c>
      <c r="G109" s="6" t="s">
        <v>36</v>
      </c>
      <c r="H109" s="6" t="s">
        <v>37</v>
      </c>
      <c r="I109" s="6" t="s">
        <v>38</v>
      </c>
      <c r="J109" s="21" t="s">
        <v>772</v>
      </c>
      <c r="K109" s="21">
        <v>1</v>
      </c>
      <c r="L109" s="21">
        <v>2</v>
      </c>
      <c r="M109" s="21">
        <v>2</v>
      </c>
      <c r="N109" s="21">
        <v>0</v>
      </c>
      <c r="O109" s="21">
        <v>0</v>
      </c>
      <c r="P109" s="23" t="str">
        <f>IF(TeamT[[#This Row],[General]]+TeamT[[#This Row],[Agility]]+TeamT[[#This Row],[Strength]]+TeamT[[#This Row],[Passing]]+TeamT[[#This Row],[Mutation]]&gt;0,IF(TeamT[[#This Row],[General]]=1,"G","")&amp;IF(TeamT[[#This Row],[Agility]]=1,"A","")&amp;IF(TeamT[[#This Row],[Strength]]=1,"S","")&amp;IF(TeamT[[#This Row],[Passing]]=1,"P","")&amp;IF(TeamT[[#This Row],[Mutation]]=1,"M",""),"Star")</f>
        <v>G</v>
      </c>
      <c r="Q109" s="23" t="str">
        <f>IF(TeamT[[#This Row],[General]]=2,"G","")&amp;IF(TeamT[[#This Row],[Agility]]=2,"A","")&amp;IF(TeamT[[#This Row],[Strength]]=2,"S","")&amp;IF(TeamT[[#This Row],[Passing]]=2,"P","")&amp;IF(TeamT[[#This Row],[Mutation]]=2,"M","")</f>
        <v>AS</v>
      </c>
      <c r="R109" s="212"/>
      <c r="S109" s="21">
        <v>3</v>
      </c>
      <c r="T109" s="21">
        <v>4</v>
      </c>
      <c r="U109" s="21">
        <v>8</v>
      </c>
      <c r="AA109" s="76" t="e">
        <f>HLOOKUP(Roster!$E$5,Team!$BL$2:$MK$128,108,FALSE)</f>
        <v>#N/A</v>
      </c>
      <c r="AB109" s="76" t="e">
        <f>HLOOKUP(Roster!$E$6,Team!$BL$2:$MK$128,108,FALSE)</f>
        <v>#N/A</v>
      </c>
      <c r="AC109" s="76" t="e">
        <f>HLOOKUP(Roster!$E$7,Team!$BL$2:$MK$128,108,FALSE)</f>
        <v>#N/A</v>
      </c>
      <c r="AD109" s="76" t="e">
        <f>HLOOKUP(Roster!$E$8,Team!$BL$2:$MK$128,108,FALSE)</f>
        <v>#N/A</v>
      </c>
      <c r="AE109" s="76" t="e">
        <f>HLOOKUP(Roster!$E$9,Team!$BL$2:$MK$128,108,FALSE)</f>
        <v>#N/A</v>
      </c>
      <c r="AF109" s="76" t="e">
        <f>HLOOKUP(Roster!$E$10,Team!$BL$2:$MK$128,108,FALSE)</f>
        <v>#N/A</v>
      </c>
      <c r="AG109" s="76" t="e">
        <f>HLOOKUP(Roster!$E$11,Team!$BL$2:$MK$128,108,FALSE)</f>
        <v>#N/A</v>
      </c>
      <c r="AH109" s="76" t="e">
        <f>HLOOKUP(Roster!$E$12,Team!$BL$2:$MK$128,108,FALSE)</f>
        <v>#N/A</v>
      </c>
      <c r="AI109" s="76" t="e">
        <f>HLOOKUP(Roster!$E$13,Team!$BL$2:$MK$128,108,FALSE)</f>
        <v>#N/A</v>
      </c>
      <c r="AJ109" s="76" t="e">
        <f>HLOOKUP(Roster!$E$14,Team!$BL$2:$MK$128,108,FALSE)</f>
        <v>#N/A</v>
      </c>
      <c r="AK109" s="76" t="e">
        <f>HLOOKUP(Roster!$E$15,Team!$BL$2:$MK$128,108,FALSE)</f>
        <v>#N/A</v>
      </c>
      <c r="AL109" s="76" t="e">
        <f>HLOOKUP(Roster!$E$16,Team!$BL$2:$MK$128,108,FALSE)</f>
        <v>#N/A</v>
      </c>
      <c r="AM109" s="76" t="e">
        <f>HLOOKUP(Roster!$E$17,Team!$BL$2:$MK$128,108,FALSE)</f>
        <v>#N/A</v>
      </c>
      <c r="AN109" s="76" t="e">
        <f>HLOOKUP(Roster!$E$18,Team!$BL$2:$MK$128,108,FALSE)</f>
        <v>#N/A</v>
      </c>
      <c r="AO109" s="76" t="e">
        <f>HLOOKUP(Roster!$E$19,Team!$BL$2:$MK$128,108,FALSE)</f>
        <v>#N/A</v>
      </c>
      <c r="AP109" s="76" t="e">
        <f>HLOOKUP(Roster!$E$20,Team!$BL$2:$MK$128,108,FALSE)</f>
        <v>#N/A</v>
      </c>
      <c r="AR109" s="108">
        <f t="shared" si="17"/>
        <v>0</v>
      </c>
      <c r="AS109" s="108">
        <f t="shared" si="18"/>
        <v>0</v>
      </c>
      <c r="AT109" s="108">
        <f t="shared" si="19"/>
        <v>0</v>
      </c>
      <c r="AU109" s="108">
        <f t="shared" si="20"/>
        <v>0</v>
      </c>
      <c r="AV109" s="108">
        <f t="shared" si="21"/>
        <v>0</v>
      </c>
      <c r="AW109" s="108">
        <f t="shared" si="22"/>
        <v>0</v>
      </c>
      <c r="AX109" s="108">
        <f t="shared" si="23"/>
        <v>0</v>
      </c>
      <c r="AY109" s="108">
        <f t="shared" si="24"/>
        <v>0</v>
      </c>
      <c r="AZ109" s="108">
        <f t="shared" si="25"/>
        <v>0</v>
      </c>
      <c r="BA109" s="108">
        <f t="shared" si="26"/>
        <v>0</v>
      </c>
      <c r="BB109" s="108">
        <f t="shared" si="27"/>
        <v>0</v>
      </c>
      <c r="BC109" s="108">
        <f t="shared" si="28"/>
        <v>0</v>
      </c>
      <c r="BD109" s="108">
        <f t="shared" si="29"/>
        <v>0</v>
      </c>
      <c r="BE109" s="108">
        <f t="shared" si="30"/>
        <v>0</v>
      </c>
      <c r="BF109" s="108">
        <f t="shared" si="31"/>
        <v>0</v>
      </c>
      <c r="BG109" s="108">
        <f t="shared" si="32"/>
        <v>0</v>
      </c>
      <c r="BL109" s="76"/>
      <c r="BN109" s="76"/>
      <c r="BO109" s="76"/>
      <c r="BP109" s="76"/>
      <c r="BQ109" s="76"/>
      <c r="BR109" s="76"/>
      <c r="BS109" s="77"/>
      <c r="BT109" s="77"/>
      <c r="BW109" s="81" t="s">
        <v>344</v>
      </c>
      <c r="BX109" s="79"/>
      <c r="BY109" s="79"/>
      <c r="BZ109" s="79"/>
      <c r="CA109" s="79"/>
      <c r="CB109" s="81" t="s">
        <v>344</v>
      </c>
      <c r="CC109" s="77"/>
      <c r="CD109" s="77"/>
      <c r="CE109" s="79"/>
      <c r="CF109" s="77"/>
      <c r="CG109" s="79"/>
      <c r="CH109" s="77"/>
      <c r="CI109" s="77"/>
      <c r="CK109" s="81" t="s">
        <v>344</v>
      </c>
      <c r="CO109" s="81" t="s">
        <v>344</v>
      </c>
      <c r="FH109" s="81" t="s">
        <v>344</v>
      </c>
      <c r="GI109" s="81" t="s">
        <v>344</v>
      </c>
      <c r="IC109" s="81" t="s">
        <v>344</v>
      </c>
      <c r="ID109" s="81" t="s">
        <v>344</v>
      </c>
      <c r="IE109" s="81" t="s">
        <v>344</v>
      </c>
      <c r="JF109" s="81" t="s">
        <v>344</v>
      </c>
      <c r="JG109" s="81" t="s">
        <v>344</v>
      </c>
      <c r="JH109" s="81" t="s">
        <v>344</v>
      </c>
      <c r="JI109" s="81" t="s">
        <v>344</v>
      </c>
    </row>
    <row r="110" spans="1:280" x14ac:dyDescent="0.15">
      <c r="A110" s="214" t="s">
        <v>501</v>
      </c>
      <c r="B110" s="6" t="s">
        <v>23</v>
      </c>
      <c r="C110" s="6">
        <v>35000</v>
      </c>
      <c r="D110" s="6">
        <v>12</v>
      </c>
      <c r="E110" s="6">
        <v>5</v>
      </c>
      <c r="F110" s="6">
        <v>3</v>
      </c>
      <c r="G110" s="6" t="s">
        <v>37</v>
      </c>
      <c r="H110" s="6" t="s">
        <v>96</v>
      </c>
      <c r="I110" s="6" t="s">
        <v>46</v>
      </c>
      <c r="J110" s="21" t="s">
        <v>142</v>
      </c>
      <c r="K110" s="21">
        <v>1</v>
      </c>
      <c r="L110" s="21">
        <v>2</v>
      </c>
      <c r="M110" s="21">
        <v>2</v>
      </c>
      <c r="N110" s="21">
        <v>0</v>
      </c>
      <c r="O110" s="21">
        <v>1</v>
      </c>
      <c r="P110" s="21" t="str">
        <f>IF(TeamT[[#This Row],[General]]+TeamT[[#This Row],[Agility]]+TeamT[[#This Row],[Strength]]+TeamT[[#This Row],[Passing]]+TeamT[[#This Row],[Mutation]]&gt;0,IF(TeamT[[#This Row],[General]]=1,"G","")&amp;IF(TeamT[[#This Row],[Agility]]=1,"A","")&amp;IF(TeamT[[#This Row],[Strength]]=1,"S","")&amp;IF(TeamT[[#This Row],[Passing]]=1,"P","")&amp;IF(TeamT[[#This Row],[Mutation]]=1,"M",""),"Star")</f>
        <v>GM</v>
      </c>
      <c r="Q110" s="21" t="str">
        <f>IF(TeamT[[#This Row],[General]]=2,"G","")&amp;IF(TeamT[[#This Row],[Agility]]=2,"A","")&amp;IF(TeamT[[#This Row],[Strength]]=2,"S","")&amp;IF(TeamT[[#This Row],[Passing]]=2,"P","")&amp;IF(TeamT[[#This Row],[Mutation]]=2,"M","")</f>
        <v>AS</v>
      </c>
      <c r="R110" s="212"/>
      <c r="S110" s="21">
        <v>4</v>
      </c>
      <c r="T110" s="21">
        <v>6</v>
      </c>
      <c r="U110" s="21">
        <v>9</v>
      </c>
      <c r="AA110" s="76" t="e">
        <f>HLOOKUP(Roster!$E$5,Team!$BL$2:$MK$128,109,FALSE)</f>
        <v>#N/A</v>
      </c>
      <c r="AB110" s="76" t="e">
        <f>HLOOKUP(Roster!$E$6,Team!$BL$2:$MK$128,109,FALSE)</f>
        <v>#N/A</v>
      </c>
      <c r="AC110" s="76" t="e">
        <f>HLOOKUP(Roster!$E$7,Team!$BL$2:$MK$128,109,FALSE)</f>
        <v>#N/A</v>
      </c>
      <c r="AD110" s="76" t="e">
        <f>HLOOKUP(Roster!$E$8,Team!$BL$2:$MK$128,109,FALSE)</f>
        <v>#N/A</v>
      </c>
      <c r="AE110" s="76" t="e">
        <f>HLOOKUP(Roster!$E$9,Team!$BL$2:$MK$128,109,FALSE)</f>
        <v>#N/A</v>
      </c>
      <c r="AF110" s="76" t="e">
        <f>HLOOKUP(Roster!$E$10,Team!$BL$2:$MK$128,109,FALSE)</f>
        <v>#N/A</v>
      </c>
      <c r="AG110" s="76" t="e">
        <f>HLOOKUP(Roster!$E$11,Team!$BL$2:$MK$128,109,FALSE)</f>
        <v>#N/A</v>
      </c>
      <c r="AH110" s="76" t="e">
        <f>HLOOKUP(Roster!$E$12,Team!$BL$2:$MK$128,109,FALSE)</f>
        <v>#N/A</v>
      </c>
      <c r="AI110" s="76" t="e">
        <f>HLOOKUP(Roster!$E$13,Team!$BL$2:$MK$128,109,FALSE)</f>
        <v>#N/A</v>
      </c>
      <c r="AJ110" s="76" t="e">
        <f>HLOOKUP(Roster!$E$14,Team!$BL$2:$MK$128,109,FALSE)</f>
        <v>#N/A</v>
      </c>
      <c r="AK110" s="76" t="e">
        <f>HLOOKUP(Roster!$E$15,Team!$BL$2:$MK$128,109,FALSE)</f>
        <v>#N/A</v>
      </c>
      <c r="AL110" s="76" t="e">
        <f>HLOOKUP(Roster!$E$16,Team!$BL$2:$MK$128,109,FALSE)</f>
        <v>#N/A</v>
      </c>
      <c r="AM110" s="76" t="e">
        <f>HLOOKUP(Roster!$E$17,Team!$BL$2:$MK$128,109,FALSE)</f>
        <v>#N/A</v>
      </c>
      <c r="AN110" s="76" t="e">
        <f>HLOOKUP(Roster!$E$18,Team!$BL$2:$MK$128,109,FALSE)</f>
        <v>#N/A</v>
      </c>
      <c r="AO110" s="76" t="e">
        <f>HLOOKUP(Roster!$E$19,Team!$BL$2:$MK$128,109,FALSE)</f>
        <v>#N/A</v>
      </c>
      <c r="AP110" s="76" t="e">
        <f>HLOOKUP(Roster!$E$20,Team!$BL$2:$MK$128,109,FALSE)</f>
        <v>#N/A</v>
      </c>
      <c r="AR110" s="108">
        <f t="shared" si="17"/>
        <v>0</v>
      </c>
      <c r="AS110" s="108">
        <f t="shared" si="18"/>
        <v>0</v>
      </c>
      <c r="AT110" s="108">
        <f t="shared" si="19"/>
        <v>0</v>
      </c>
      <c r="AU110" s="108">
        <f t="shared" si="20"/>
        <v>0</v>
      </c>
      <c r="AV110" s="108">
        <f t="shared" si="21"/>
        <v>0</v>
      </c>
      <c r="AW110" s="108">
        <f t="shared" si="22"/>
        <v>0</v>
      </c>
      <c r="AX110" s="108">
        <f t="shared" si="23"/>
        <v>0</v>
      </c>
      <c r="AY110" s="108">
        <f t="shared" si="24"/>
        <v>0</v>
      </c>
      <c r="AZ110" s="108">
        <f t="shared" si="25"/>
        <v>0</v>
      </c>
      <c r="BA110" s="108">
        <f t="shared" si="26"/>
        <v>0</v>
      </c>
      <c r="BB110" s="108">
        <f t="shared" si="27"/>
        <v>0</v>
      </c>
      <c r="BC110" s="108">
        <f t="shared" si="28"/>
        <v>0</v>
      </c>
      <c r="BD110" s="108">
        <f t="shared" si="29"/>
        <v>0</v>
      </c>
      <c r="BE110" s="108">
        <f t="shared" si="30"/>
        <v>0</v>
      </c>
      <c r="BF110" s="108">
        <f t="shared" si="31"/>
        <v>0</v>
      </c>
      <c r="BG110" s="108">
        <f t="shared" si="32"/>
        <v>0</v>
      </c>
      <c r="BL110" s="76"/>
      <c r="BN110" s="76"/>
      <c r="BO110" s="76"/>
      <c r="BP110" s="76"/>
      <c r="BQ110" s="76"/>
      <c r="BR110" s="76"/>
      <c r="BS110" s="77"/>
      <c r="BT110" s="77"/>
      <c r="BW110" s="81" t="s">
        <v>345</v>
      </c>
      <c r="BX110" s="79"/>
      <c r="BY110" s="79"/>
      <c r="BZ110" s="79"/>
      <c r="CA110" s="79"/>
      <c r="CB110" s="81" t="s">
        <v>345</v>
      </c>
      <c r="CC110" s="77"/>
      <c r="CD110" s="77"/>
      <c r="CE110" s="79"/>
      <c r="CF110" s="77"/>
      <c r="CG110" s="79"/>
      <c r="CH110" s="77"/>
      <c r="CI110" s="77"/>
      <c r="CK110" s="81" t="s">
        <v>345</v>
      </c>
      <c r="CO110" s="81" t="s">
        <v>345</v>
      </c>
      <c r="FH110" s="81" t="s">
        <v>345</v>
      </c>
      <c r="GI110" s="81" t="s">
        <v>345</v>
      </c>
      <c r="IC110" s="81" t="s">
        <v>345</v>
      </c>
      <c r="ID110" s="81" t="s">
        <v>345</v>
      </c>
      <c r="IE110" s="81" t="s">
        <v>345</v>
      </c>
      <c r="JF110" s="81" t="s">
        <v>345</v>
      </c>
      <c r="JG110" s="81" t="s">
        <v>345</v>
      </c>
      <c r="JH110" s="81" t="s">
        <v>345</v>
      </c>
      <c r="JI110" s="81" t="s">
        <v>345</v>
      </c>
    </row>
    <row r="111" spans="1:280" x14ac:dyDescent="0.15">
      <c r="A111" s="214" t="s">
        <v>139</v>
      </c>
      <c r="B111" s="6" t="s">
        <v>23</v>
      </c>
      <c r="C111" s="6">
        <v>75000</v>
      </c>
      <c r="D111" s="6">
        <v>4</v>
      </c>
      <c r="E111" s="6">
        <v>6</v>
      </c>
      <c r="F111" s="6">
        <v>3</v>
      </c>
      <c r="G111" s="6" t="s">
        <v>36</v>
      </c>
      <c r="H111" s="6" t="s">
        <v>37</v>
      </c>
      <c r="I111" s="6" t="s">
        <v>46</v>
      </c>
      <c r="J111" s="21" t="s">
        <v>143</v>
      </c>
      <c r="K111" s="21">
        <v>1</v>
      </c>
      <c r="L111" s="21">
        <v>2</v>
      </c>
      <c r="M111" s="21">
        <v>1</v>
      </c>
      <c r="N111" s="21">
        <v>2</v>
      </c>
      <c r="O111" s="21">
        <v>1</v>
      </c>
      <c r="P111" s="21" t="str">
        <f>IF(TeamT[[#This Row],[General]]+TeamT[[#This Row],[Agility]]+TeamT[[#This Row],[Strength]]+TeamT[[#This Row],[Passing]]+TeamT[[#This Row],[Mutation]]&gt;0,IF(TeamT[[#This Row],[General]]=1,"G","")&amp;IF(TeamT[[#This Row],[Agility]]=1,"A","")&amp;IF(TeamT[[#This Row],[Strength]]=1,"S","")&amp;IF(TeamT[[#This Row],[Passing]]=1,"P","")&amp;IF(TeamT[[#This Row],[Mutation]]=1,"M",""),"Star")</f>
        <v>GSM</v>
      </c>
      <c r="Q111" s="21" t="str">
        <f>IF(TeamT[[#This Row],[General]]=2,"G","")&amp;IF(TeamT[[#This Row],[Agility]]=2,"A","")&amp;IF(TeamT[[#This Row],[Strength]]=2,"S","")&amp;IF(TeamT[[#This Row],[Passing]]=2,"P","")&amp;IF(TeamT[[#This Row],[Mutation]]=2,"M","")</f>
        <v>AP</v>
      </c>
      <c r="R111" s="212"/>
      <c r="S111" s="21">
        <v>3</v>
      </c>
      <c r="T111" s="21">
        <v>4</v>
      </c>
      <c r="U111" s="21">
        <v>9</v>
      </c>
      <c r="AA111" s="76" t="e">
        <f>HLOOKUP(Roster!$E$5,Team!$BL$2:$MK$128,110,FALSE)</f>
        <v>#N/A</v>
      </c>
      <c r="AB111" s="76" t="e">
        <f>HLOOKUP(Roster!$E$6,Team!$BL$2:$MK$128,110,FALSE)</f>
        <v>#N/A</v>
      </c>
      <c r="AC111" s="76" t="e">
        <f>HLOOKUP(Roster!$E$7,Team!$BL$2:$MK$128,110,FALSE)</f>
        <v>#N/A</v>
      </c>
      <c r="AD111" s="76" t="e">
        <f>HLOOKUP(Roster!$E$8,Team!$BL$2:$MK$128,110,FALSE)</f>
        <v>#N/A</v>
      </c>
      <c r="AE111" s="76" t="e">
        <f>HLOOKUP(Roster!$E$9,Team!$BL$2:$MK$128,110,FALSE)</f>
        <v>#N/A</v>
      </c>
      <c r="AF111" s="76" t="e">
        <f>HLOOKUP(Roster!$E$10,Team!$BL$2:$MK$128,110,FALSE)</f>
        <v>#N/A</v>
      </c>
      <c r="AG111" s="76" t="e">
        <f>HLOOKUP(Roster!$E$11,Team!$BL$2:$MK$128,110,FALSE)</f>
        <v>#N/A</v>
      </c>
      <c r="AH111" s="76" t="e">
        <f>HLOOKUP(Roster!$E$12,Team!$BL$2:$MK$128,110,FALSE)</f>
        <v>#N/A</v>
      </c>
      <c r="AI111" s="76" t="e">
        <f>HLOOKUP(Roster!$E$13,Team!$BL$2:$MK$128,110,FALSE)</f>
        <v>#N/A</v>
      </c>
      <c r="AJ111" s="76" t="e">
        <f>HLOOKUP(Roster!$E$14,Team!$BL$2:$MK$128,110,FALSE)</f>
        <v>#N/A</v>
      </c>
      <c r="AK111" s="76" t="e">
        <f>HLOOKUP(Roster!$E$15,Team!$BL$2:$MK$128,110,FALSE)</f>
        <v>#N/A</v>
      </c>
      <c r="AL111" s="76" t="e">
        <f>HLOOKUP(Roster!$E$16,Team!$BL$2:$MK$128,110,FALSE)</f>
        <v>#N/A</v>
      </c>
      <c r="AM111" s="76" t="e">
        <f>HLOOKUP(Roster!$E$17,Team!$BL$2:$MK$128,110,FALSE)</f>
        <v>#N/A</v>
      </c>
      <c r="AN111" s="76" t="e">
        <f>HLOOKUP(Roster!$E$18,Team!$BL$2:$MK$128,110,FALSE)</f>
        <v>#N/A</v>
      </c>
      <c r="AO111" s="76" t="e">
        <f>HLOOKUP(Roster!$E$19,Team!$BL$2:$MK$128,110,FALSE)</f>
        <v>#N/A</v>
      </c>
      <c r="AP111" s="76" t="e">
        <f>HLOOKUP(Roster!$E$20,Team!$BL$2:$MK$128,110,FALSE)</f>
        <v>#N/A</v>
      </c>
      <c r="AR111" s="108">
        <f t="shared" si="17"/>
        <v>0</v>
      </c>
      <c r="AS111" s="108">
        <f t="shared" si="18"/>
        <v>0</v>
      </c>
      <c r="AT111" s="108">
        <f t="shared" si="19"/>
        <v>0</v>
      </c>
      <c r="AU111" s="108">
        <f t="shared" si="20"/>
        <v>0</v>
      </c>
      <c r="AV111" s="108">
        <f t="shared" si="21"/>
        <v>0</v>
      </c>
      <c r="AW111" s="108">
        <f t="shared" si="22"/>
        <v>0</v>
      </c>
      <c r="AX111" s="108">
        <f t="shared" si="23"/>
        <v>0</v>
      </c>
      <c r="AY111" s="108">
        <f t="shared" si="24"/>
        <v>0</v>
      </c>
      <c r="AZ111" s="108">
        <f t="shared" si="25"/>
        <v>0</v>
      </c>
      <c r="BA111" s="108">
        <f t="shared" si="26"/>
        <v>0</v>
      </c>
      <c r="BB111" s="108">
        <f t="shared" si="27"/>
        <v>0</v>
      </c>
      <c r="BC111" s="108">
        <f t="shared" si="28"/>
        <v>0</v>
      </c>
      <c r="BD111" s="108">
        <f t="shared" si="29"/>
        <v>0</v>
      </c>
      <c r="BE111" s="108">
        <f t="shared" si="30"/>
        <v>0</v>
      </c>
      <c r="BF111" s="108">
        <f t="shared" si="31"/>
        <v>0</v>
      </c>
      <c r="BG111" s="108">
        <f t="shared" si="32"/>
        <v>0</v>
      </c>
      <c r="BL111" s="76"/>
      <c r="BN111" s="76"/>
      <c r="BO111" s="76"/>
      <c r="BP111" s="76"/>
      <c r="BQ111" s="76"/>
      <c r="BR111" s="76"/>
      <c r="BS111" s="77"/>
      <c r="BT111" s="77"/>
      <c r="BW111" s="81" t="s">
        <v>346</v>
      </c>
      <c r="BX111" s="79"/>
      <c r="BY111" s="79"/>
      <c r="BZ111" s="79"/>
      <c r="CA111" s="79"/>
      <c r="CB111" s="81" t="s">
        <v>346</v>
      </c>
      <c r="CC111" s="77"/>
      <c r="CD111" s="77"/>
      <c r="CE111" s="79"/>
      <c r="CF111" s="77"/>
      <c r="CG111" s="79"/>
      <c r="CH111" s="77"/>
      <c r="CI111" s="77"/>
      <c r="CK111" s="81" t="s">
        <v>346</v>
      </c>
      <c r="CO111" s="81" t="s">
        <v>346</v>
      </c>
      <c r="FH111" s="81" t="s">
        <v>346</v>
      </c>
      <c r="GI111" s="81" t="s">
        <v>346</v>
      </c>
      <c r="IC111" s="81" t="s">
        <v>346</v>
      </c>
      <c r="ID111" s="81" t="s">
        <v>346</v>
      </c>
      <c r="IE111" s="81" t="s">
        <v>346</v>
      </c>
      <c r="JF111" s="81" t="s">
        <v>346</v>
      </c>
      <c r="JG111" s="81" t="s">
        <v>346</v>
      </c>
      <c r="JH111" s="81" t="s">
        <v>346</v>
      </c>
      <c r="JI111" s="81" t="s">
        <v>346</v>
      </c>
    </row>
    <row r="112" spans="1:280" x14ac:dyDescent="0.15">
      <c r="A112" s="214" t="s">
        <v>140</v>
      </c>
      <c r="B112" s="6" t="s">
        <v>23</v>
      </c>
      <c r="C112" s="6">
        <v>115000</v>
      </c>
      <c r="D112" s="6">
        <v>4</v>
      </c>
      <c r="E112" s="6">
        <v>4</v>
      </c>
      <c r="F112" s="6">
        <v>4</v>
      </c>
      <c r="G112" s="6" t="s">
        <v>37</v>
      </c>
      <c r="H112" s="6" t="s">
        <v>96</v>
      </c>
      <c r="I112" s="6" t="s">
        <v>41</v>
      </c>
      <c r="J112" s="21" t="s">
        <v>144</v>
      </c>
      <c r="K112" s="21">
        <v>1</v>
      </c>
      <c r="L112" s="21">
        <v>2</v>
      </c>
      <c r="M112" s="21">
        <v>1</v>
      </c>
      <c r="N112" s="21">
        <v>0</v>
      </c>
      <c r="O112" s="21">
        <v>1</v>
      </c>
      <c r="P112" s="21" t="str">
        <f>IF(TeamT[[#This Row],[General]]+TeamT[[#This Row],[Agility]]+TeamT[[#This Row],[Strength]]+TeamT[[#This Row],[Passing]]+TeamT[[#This Row],[Mutation]]&gt;0,IF(TeamT[[#This Row],[General]]=1,"G","")&amp;IF(TeamT[[#This Row],[Agility]]=1,"A","")&amp;IF(TeamT[[#This Row],[Strength]]=1,"S","")&amp;IF(TeamT[[#This Row],[Passing]]=1,"P","")&amp;IF(TeamT[[#This Row],[Mutation]]=1,"M",""),"Star")</f>
        <v>GSM</v>
      </c>
      <c r="Q112" s="227" t="str">
        <f>IF(TeamT[[#This Row],[General]]=2,"G","")&amp;IF(TeamT[[#This Row],[Agility]]=2,"A","")&amp;IF(TeamT[[#This Row],[Strength]]=2,"S","")&amp;IF(TeamT[[#This Row],[Passing]]=2,"P","")&amp;IF(TeamT[[#This Row],[Mutation]]=2,"M","")</f>
        <v>A</v>
      </c>
      <c r="R112" s="212"/>
      <c r="S112" s="21">
        <v>4</v>
      </c>
      <c r="T112" s="21">
        <v>6</v>
      </c>
      <c r="U112" s="21">
        <v>10</v>
      </c>
      <c r="AA112" s="76" t="e">
        <f>HLOOKUP(Roster!$E$5,Team!$BL$2:$MK$128,111,FALSE)</f>
        <v>#N/A</v>
      </c>
      <c r="AB112" s="76" t="e">
        <f>HLOOKUP(Roster!$E$6,Team!$BL$2:$MK$128,111,FALSE)</f>
        <v>#N/A</v>
      </c>
      <c r="AC112" s="76" t="e">
        <f>HLOOKUP(Roster!$E$7,Team!$BL$2:$MK$128,111,FALSE)</f>
        <v>#N/A</v>
      </c>
      <c r="AD112" s="76" t="e">
        <f>HLOOKUP(Roster!$E$8,Team!$BL$2:$MK$128,111,FALSE)</f>
        <v>#N/A</v>
      </c>
      <c r="AE112" s="76" t="e">
        <f>HLOOKUP(Roster!$E$9,Team!$BL$2:$MK$128,111,FALSE)</f>
        <v>#N/A</v>
      </c>
      <c r="AF112" s="76" t="e">
        <f>HLOOKUP(Roster!$E$10,Team!$BL$2:$MK$128,111,FALSE)</f>
        <v>#N/A</v>
      </c>
      <c r="AG112" s="76" t="e">
        <f>HLOOKUP(Roster!$E$11,Team!$BL$2:$MK$128,111,FALSE)</f>
        <v>#N/A</v>
      </c>
      <c r="AH112" s="76" t="e">
        <f>HLOOKUP(Roster!$E$12,Team!$BL$2:$MK$128,111,FALSE)</f>
        <v>#N/A</v>
      </c>
      <c r="AI112" s="76" t="e">
        <f>HLOOKUP(Roster!$E$13,Team!$BL$2:$MK$128,111,FALSE)</f>
        <v>#N/A</v>
      </c>
      <c r="AJ112" s="76" t="e">
        <f>HLOOKUP(Roster!$E$14,Team!$BL$2:$MK$128,111,FALSE)</f>
        <v>#N/A</v>
      </c>
      <c r="AK112" s="76" t="e">
        <f>HLOOKUP(Roster!$E$15,Team!$BL$2:$MK$128,111,FALSE)</f>
        <v>#N/A</v>
      </c>
      <c r="AL112" s="76" t="e">
        <f>HLOOKUP(Roster!$E$16,Team!$BL$2:$MK$128,111,FALSE)</f>
        <v>#N/A</v>
      </c>
      <c r="AM112" s="76" t="e">
        <f>HLOOKUP(Roster!$E$17,Team!$BL$2:$MK$128,111,FALSE)</f>
        <v>#N/A</v>
      </c>
      <c r="AN112" s="76" t="e">
        <f>HLOOKUP(Roster!$E$18,Team!$BL$2:$MK$128,111,FALSE)</f>
        <v>#N/A</v>
      </c>
      <c r="AO112" s="76" t="e">
        <f>HLOOKUP(Roster!$E$19,Team!$BL$2:$MK$128,111,FALSE)</f>
        <v>#N/A</v>
      </c>
      <c r="AP112" s="76" t="e">
        <f>HLOOKUP(Roster!$E$20,Team!$BL$2:$MK$128,111,FALSE)</f>
        <v>#N/A</v>
      </c>
      <c r="AR112" s="108">
        <f t="shared" si="17"/>
        <v>0</v>
      </c>
      <c r="AS112" s="108">
        <f t="shared" si="18"/>
        <v>0</v>
      </c>
      <c r="AT112" s="108">
        <f t="shared" si="19"/>
        <v>0</v>
      </c>
      <c r="AU112" s="108">
        <f t="shared" si="20"/>
        <v>0</v>
      </c>
      <c r="AV112" s="108">
        <f t="shared" si="21"/>
        <v>0</v>
      </c>
      <c r="AW112" s="108">
        <f t="shared" si="22"/>
        <v>0</v>
      </c>
      <c r="AX112" s="108">
        <f t="shared" si="23"/>
        <v>0</v>
      </c>
      <c r="AY112" s="108">
        <f t="shared" si="24"/>
        <v>0</v>
      </c>
      <c r="AZ112" s="108">
        <f t="shared" si="25"/>
        <v>0</v>
      </c>
      <c r="BA112" s="108">
        <f t="shared" si="26"/>
        <v>0</v>
      </c>
      <c r="BB112" s="108">
        <f t="shared" si="27"/>
        <v>0</v>
      </c>
      <c r="BC112" s="108">
        <f t="shared" si="28"/>
        <v>0</v>
      </c>
      <c r="BD112" s="108">
        <f t="shared" si="29"/>
        <v>0</v>
      </c>
      <c r="BE112" s="108">
        <f t="shared" si="30"/>
        <v>0</v>
      </c>
      <c r="BF112" s="108">
        <f t="shared" si="31"/>
        <v>0</v>
      </c>
      <c r="BG112" s="108">
        <f t="shared" si="32"/>
        <v>0</v>
      </c>
      <c r="BL112" s="76"/>
      <c r="BN112" s="76"/>
      <c r="BO112" s="76"/>
      <c r="BP112" s="76"/>
      <c r="BQ112" s="76"/>
      <c r="BR112" s="76"/>
      <c r="BS112" s="77"/>
      <c r="BT112" s="77"/>
      <c r="BW112" s="81" t="s">
        <v>347</v>
      </c>
      <c r="BX112" s="79"/>
      <c r="BY112" s="79"/>
      <c r="BZ112" s="79"/>
      <c r="CA112" s="79"/>
      <c r="CB112" s="81" t="s">
        <v>347</v>
      </c>
      <c r="CC112" s="77"/>
      <c r="CD112" s="77"/>
      <c r="CE112" s="79"/>
      <c r="CF112" s="77"/>
      <c r="CG112" s="79"/>
      <c r="CH112" s="77"/>
      <c r="CI112" s="77"/>
      <c r="CK112" s="81" t="s">
        <v>347</v>
      </c>
      <c r="CO112" s="81" t="s">
        <v>347</v>
      </c>
      <c r="FH112" s="81" t="s">
        <v>347</v>
      </c>
      <c r="GI112" s="81" t="s">
        <v>347</v>
      </c>
      <c r="IC112" s="81" t="s">
        <v>347</v>
      </c>
      <c r="ID112" s="81" t="s">
        <v>347</v>
      </c>
      <c r="IE112" s="81" t="s">
        <v>347</v>
      </c>
      <c r="JF112" s="81" t="s">
        <v>347</v>
      </c>
      <c r="JG112" s="81" t="s">
        <v>347</v>
      </c>
      <c r="JH112" s="81" t="s">
        <v>347</v>
      </c>
      <c r="JI112" s="81" t="s">
        <v>347</v>
      </c>
    </row>
    <row r="113" spans="1:269" x14ac:dyDescent="0.15">
      <c r="A113" s="214" t="s">
        <v>141</v>
      </c>
      <c r="B113" s="6" t="s">
        <v>23</v>
      </c>
      <c r="C113" s="6">
        <v>140000</v>
      </c>
      <c r="D113" s="6">
        <v>1</v>
      </c>
      <c r="E113" s="6">
        <v>4</v>
      </c>
      <c r="F113" s="6">
        <v>5</v>
      </c>
      <c r="G113" s="6" t="s">
        <v>40</v>
      </c>
      <c r="H113" s="6" t="s">
        <v>53</v>
      </c>
      <c r="I113" s="6" t="s">
        <v>41</v>
      </c>
      <c r="J113" s="21" t="s">
        <v>145</v>
      </c>
      <c r="K113" s="21">
        <v>2</v>
      </c>
      <c r="L113" s="21">
        <v>2</v>
      </c>
      <c r="M113" s="21">
        <v>1</v>
      </c>
      <c r="N113" s="21">
        <v>0</v>
      </c>
      <c r="O113" s="21">
        <v>2</v>
      </c>
      <c r="P113" s="21" t="str">
        <f>IF(TeamT[[#This Row],[General]]+TeamT[[#This Row],[Agility]]+TeamT[[#This Row],[Strength]]+TeamT[[#This Row],[Passing]]+TeamT[[#This Row],[Mutation]]&gt;0,IF(TeamT[[#This Row],[General]]=1,"G","")&amp;IF(TeamT[[#This Row],[Agility]]=1,"A","")&amp;IF(TeamT[[#This Row],[Strength]]=1,"S","")&amp;IF(TeamT[[#This Row],[Passing]]=1,"P","")&amp;IF(TeamT[[#This Row],[Mutation]]=1,"M",""),"Star")</f>
        <v>S</v>
      </c>
      <c r="Q113" s="21" t="str">
        <f>IF(TeamT[[#This Row],[General]]=2,"G","")&amp;IF(TeamT[[#This Row],[Agility]]=2,"A","")&amp;IF(TeamT[[#This Row],[Strength]]=2,"S","")&amp;IF(TeamT[[#This Row],[Passing]]=2,"P","")&amp;IF(TeamT[[#This Row],[Mutation]]=2,"M","")</f>
        <v>GAM</v>
      </c>
      <c r="R113" s="212"/>
      <c r="S113" s="21">
        <v>5</v>
      </c>
      <c r="T113" s="21" t="s">
        <v>53</v>
      </c>
      <c r="U113" s="21">
        <v>10</v>
      </c>
      <c r="AA113" s="76" t="e">
        <f>HLOOKUP(Roster!$E$5,Team!$BL$2:$MK$128,112,FALSE)</f>
        <v>#N/A</v>
      </c>
      <c r="AB113" s="76" t="e">
        <f>HLOOKUP(Roster!$E$6,Team!$BL$2:$MK$128,112,FALSE)</f>
        <v>#N/A</v>
      </c>
      <c r="AC113" s="76" t="e">
        <f>HLOOKUP(Roster!$E$7,Team!$BL$2:$MK$128,112,FALSE)</f>
        <v>#N/A</v>
      </c>
      <c r="AD113" s="76" t="e">
        <f>HLOOKUP(Roster!$E$8,Team!$BL$2:$MK$128,112,FALSE)</f>
        <v>#N/A</v>
      </c>
      <c r="AE113" s="76" t="e">
        <f>HLOOKUP(Roster!$E$9,Team!$BL$2:$MK$128,112,FALSE)</f>
        <v>#N/A</v>
      </c>
      <c r="AF113" s="76" t="e">
        <f>HLOOKUP(Roster!$E$10,Team!$BL$2:$MK$128,112,FALSE)</f>
        <v>#N/A</v>
      </c>
      <c r="AG113" s="76" t="e">
        <f>HLOOKUP(Roster!$E$11,Team!$BL$2:$MK$128,112,FALSE)</f>
        <v>#N/A</v>
      </c>
      <c r="AH113" s="76" t="e">
        <f>HLOOKUP(Roster!$E$12,Team!$BL$2:$MK$128,112,FALSE)</f>
        <v>#N/A</v>
      </c>
      <c r="AI113" s="76" t="e">
        <f>HLOOKUP(Roster!$E$13,Team!$BL$2:$MK$128,112,FALSE)</f>
        <v>#N/A</v>
      </c>
      <c r="AJ113" s="76" t="e">
        <f>HLOOKUP(Roster!$E$14,Team!$BL$2:$MK$128,112,FALSE)</f>
        <v>#N/A</v>
      </c>
      <c r="AK113" s="76" t="e">
        <f>HLOOKUP(Roster!$E$15,Team!$BL$2:$MK$128,112,FALSE)</f>
        <v>#N/A</v>
      </c>
      <c r="AL113" s="76" t="e">
        <f>HLOOKUP(Roster!$E$16,Team!$BL$2:$MK$128,112,FALSE)</f>
        <v>#N/A</v>
      </c>
      <c r="AM113" s="76" t="e">
        <f>HLOOKUP(Roster!$E$17,Team!$BL$2:$MK$128,112,FALSE)</f>
        <v>#N/A</v>
      </c>
      <c r="AN113" s="76" t="e">
        <f>HLOOKUP(Roster!$E$18,Team!$BL$2:$MK$128,112,FALSE)</f>
        <v>#N/A</v>
      </c>
      <c r="AO113" s="76" t="e">
        <f>HLOOKUP(Roster!$E$19,Team!$BL$2:$MK$128,112,FALSE)</f>
        <v>#N/A</v>
      </c>
      <c r="AP113" s="76" t="e">
        <f>HLOOKUP(Roster!$E$20,Team!$BL$2:$MK$128,112,FALSE)</f>
        <v>#N/A</v>
      </c>
      <c r="AR113" s="108">
        <f t="shared" si="17"/>
        <v>0</v>
      </c>
      <c r="AS113" s="108">
        <f t="shared" si="18"/>
        <v>0</v>
      </c>
      <c r="AT113" s="108">
        <f t="shared" si="19"/>
        <v>0</v>
      </c>
      <c r="AU113" s="108">
        <f t="shared" si="20"/>
        <v>0</v>
      </c>
      <c r="AV113" s="108">
        <f t="shared" si="21"/>
        <v>0</v>
      </c>
      <c r="AW113" s="108">
        <f t="shared" si="22"/>
        <v>0</v>
      </c>
      <c r="AX113" s="108">
        <f t="shared" si="23"/>
        <v>0</v>
      </c>
      <c r="AY113" s="108">
        <f t="shared" si="24"/>
        <v>0</v>
      </c>
      <c r="AZ113" s="108">
        <f t="shared" si="25"/>
        <v>0</v>
      </c>
      <c r="BA113" s="108">
        <f t="shared" si="26"/>
        <v>0</v>
      </c>
      <c r="BB113" s="108">
        <f t="shared" si="27"/>
        <v>0</v>
      </c>
      <c r="BC113" s="108">
        <f t="shared" si="28"/>
        <v>0</v>
      </c>
      <c r="BD113" s="108">
        <f t="shared" si="29"/>
        <v>0</v>
      </c>
      <c r="BE113" s="108">
        <f t="shared" si="30"/>
        <v>0</v>
      </c>
      <c r="BF113" s="108">
        <f t="shared" si="31"/>
        <v>0</v>
      </c>
      <c r="BG113" s="108">
        <f t="shared" si="32"/>
        <v>0</v>
      </c>
      <c r="BL113" s="76"/>
      <c r="BN113" s="76"/>
      <c r="BO113" s="76"/>
      <c r="BP113" s="76"/>
      <c r="BQ113" s="76"/>
      <c r="BR113" s="76"/>
      <c r="BS113" s="77"/>
      <c r="BT113" s="77"/>
      <c r="BW113" s="81" t="s">
        <v>348</v>
      </c>
      <c r="BX113" s="79"/>
      <c r="BY113" s="79"/>
      <c r="BZ113" s="79"/>
      <c r="CA113" s="79"/>
      <c r="CB113" s="81" t="s">
        <v>348</v>
      </c>
      <c r="CC113" s="77"/>
      <c r="CD113" s="77"/>
      <c r="CE113" s="79"/>
      <c r="CF113" s="77"/>
      <c r="CG113" s="79"/>
      <c r="CH113" s="77"/>
      <c r="CI113" s="77"/>
      <c r="CK113" s="81" t="s">
        <v>348</v>
      </c>
      <c r="CO113" s="81" t="s">
        <v>348</v>
      </c>
      <c r="FH113" s="81" t="s">
        <v>348</v>
      </c>
      <c r="GI113" s="81" t="s">
        <v>348</v>
      </c>
      <c r="IC113" s="81" t="s">
        <v>348</v>
      </c>
      <c r="ID113" s="81" t="s">
        <v>348</v>
      </c>
      <c r="IE113" s="81" t="s">
        <v>348</v>
      </c>
      <c r="JF113" s="81" t="s">
        <v>348</v>
      </c>
      <c r="JG113" s="81" t="s">
        <v>348</v>
      </c>
      <c r="JH113" s="81" t="s">
        <v>348</v>
      </c>
      <c r="JI113" s="81" t="s">
        <v>348</v>
      </c>
    </row>
    <row r="114" spans="1:269" x14ac:dyDescent="0.15">
      <c r="A114" s="214" t="s">
        <v>548</v>
      </c>
      <c r="B114" s="6" t="s">
        <v>23</v>
      </c>
      <c r="C114" s="6">
        <v>35000</v>
      </c>
      <c r="D114" s="6">
        <v>11</v>
      </c>
      <c r="E114" s="6">
        <v>5</v>
      </c>
      <c r="F114" s="6">
        <v>3</v>
      </c>
      <c r="G114" s="6" t="s">
        <v>37</v>
      </c>
      <c r="H114" s="6" t="s">
        <v>96</v>
      </c>
      <c r="I114" s="6" t="s">
        <v>46</v>
      </c>
      <c r="J114" s="21" t="s">
        <v>146</v>
      </c>
      <c r="K114" s="21">
        <v>1</v>
      </c>
      <c r="L114" s="21">
        <v>2</v>
      </c>
      <c r="M114" s="21">
        <v>2</v>
      </c>
      <c r="N114" s="21">
        <v>0</v>
      </c>
      <c r="O114" s="21">
        <v>1</v>
      </c>
      <c r="P114" s="21" t="str">
        <f>IF(TeamT[[#This Row],[General]]+TeamT[[#This Row],[Agility]]+TeamT[[#This Row],[Strength]]+TeamT[[#This Row],[Passing]]+TeamT[[#This Row],[Mutation]]&gt;0,IF(TeamT[[#This Row],[General]]=1,"G","")&amp;IF(TeamT[[#This Row],[Agility]]=1,"A","")&amp;IF(TeamT[[#This Row],[Strength]]=1,"S","")&amp;IF(TeamT[[#This Row],[Passing]]=1,"P","")&amp;IF(TeamT[[#This Row],[Mutation]]=1,"M",""),"Star")</f>
        <v>GM</v>
      </c>
      <c r="Q114" s="21" t="str">
        <f>IF(TeamT[[#This Row],[General]]=2,"G","")&amp;IF(TeamT[[#This Row],[Agility]]=2,"A","")&amp;IF(TeamT[[#This Row],[Strength]]=2,"S","")&amp;IF(TeamT[[#This Row],[Passing]]=2,"P","")&amp;IF(TeamT[[#This Row],[Mutation]]=2,"M","")</f>
        <v>AS</v>
      </c>
      <c r="R114" s="212"/>
      <c r="S114" s="21">
        <v>4</v>
      </c>
      <c r="T114" s="21">
        <v>6</v>
      </c>
      <c r="U114" s="21">
        <v>9</v>
      </c>
      <c r="AA114" s="76" t="e">
        <f>HLOOKUP(Roster!$E$5,Team!$BL$2:$MK$128,113,FALSE)</f>
        <v>#N/A</v>
      </c>
      <c r="AB114" s="76" t="e">
        <f>HLOOKUP(Roster!$E$6,Team!$BL$2:$MK$128,113,FALSE)</f>
        <v>#N/A</v>
      </c>
      <c r="AC114" s="76" t="e">
        <f>HLOOKUP(Roster!$E$7,Team!$BL$2:$MK$128,113,FALSE)</f>
        <v>#N/A</v>
      </c>
      <c r="AD114" s="76" t="e">
        <f>HLOOKUP(Roster!$E$8,Team!$BL$2:$MK$128,113,FALSE)</f>
        <v>#N/A</v>
      </c>
      <c r="AE114" s="76" t="e">
        <f>HLOOKUP(Roster!$E$9,Team!$BL$2:$MK$128,113,FALSE)</f>
        <v>#N/A</v>
      </c>
      <c r="AF114" s="76" t="e">
        <f>HLOOKUP(Roster!$E$10,Team!$BL$2:$MK$128,113,FALSE)</f>
        <v>#N/A</v>
      </c>
      <c r="AG114" s="76" t="e">
        <f>HLOOKUP(Roster!$E$11,Team!$BL$2:$MK$128,113,FALSE)</f>
        <v>#N/A</v>
      </c>
      <c r="AH114" s="76" t="e">
        <f>HLOOKUP(Roster!$E$12,Team!$BL$2:$MK$128,113,FALSE)</f>
        <v>#N/A</v>
      </c>
      <c r="AI114" s="76" t="e">
        <f>HLOOKUP(Roster!$E$13,Team!$BL$2:$MK$128,113,FALSE)</f>
        <v>#N/A</v>
      </c>
      <c r="AJ114" s="76" t="e">
        <f>HLOOKUP(Roster!$E$14,Team!$BL$2:$MK$128,113,FALSE)</f>
        <v>#N/A</v>
      </c>
      <c r="AK114" s="76" t="e">
        <f>HLOOKUP(Roster!$E$15,Team!$BL$2:$MK$128,113,FALSE)</f>
        <v>#N/A</v>
      </c>
      <c r="AL114" s="76" t="e">
        <f>HLOOKUP(Roster!$E$16,Team!$BL$2:$MK$128,113,FALSE)</f>
        <v>#N/A</v>
      </c>
      <c r="AM114" s="76" t="e">
        <f>HLOOKUP(Roster!$E$17,Team!$BL$2:$MK$128,113,FALSE)</f>
        <v>#N/A</v>
      </c>
      <c r="AN114" s="76" t="e">
        <f>HLOOKUP(Roster!$E$18,Team!$BL$2:$MK$128,113,FALSE)</f>
        <v>#N/A</v>
      </c>
      <c r="AO114" s="76" t="e">
        <f>HLOOKUP(Roster!$E$19,Team!$BL$2:$MK$128,113,FALSE)</f>
        <v>#N/A</v>
      </c>
      <c r="AP114" s="76" t="e">
        <f>HLOOKUP(Roster!$E$20,Team!$BL$2:$MK$128,113,FALSE)</f>
        <v>#N/A</v>
      </c>
      <c r="AR114" s="108">
        <f t="shared" si="17"/>
        <v>0</v>
      </c>
      <c r="AS114" s="108">
        <f t="shared" si="18"/>
        <v>0</v>
      </c>
      <c r="AT114" s="108">
        <f t="shared" si="19"/>
        <v>0</v>
      </c>
      <c r="AU114" s="108">
        <f t="shared" si="20"/>
        <v>0</v>
      </c>
      <c r="AV114" s="108">
        <f t="shared" si="21"/>
        <v>0</v>
      </c>
      <c r="AW114" s="108">
        <f t="shared" si="22"/>
        <v>0</v>
      </c>
      <c r="AX114" s="108">
        <f t="shared" si="23"/>
        <v>0</v>
      </c>
      <c r="AY114" s="108">
        <f t="shared" si="24"/>
        <v>0</v>
      </c>
      <c r="AZ114" s="108">
        <f t="shared" si="25"/>
        <v>0</v>
      </c>
      <c r="BA114" s="108">
        <f t="shared" si="26"/>
        <v>0</v>
      </c>
      <c r="BB114" s="108">
        <f t="shared" si="27"/>
        <v>0</v>
      </c>
      <c r="BC114" s="108">
        <f t="shared" si="28"/>
        <v>0</v>
      </c>
      <c r="BD114" s="108">
        <f t="shared" si="29"/>
        <v>0</v>
      </c>
      <c r="BE114" s="108">
        <f t="shared" si="30"/>
        <v>0</v>
      </c>
      <c r="BF114" s="108">
        <f t="shared" si="31"/>
        <v>0</v>
      </c>
      <c r="BG114" s="108">
        <f t="shared" si="32"/>
        <v>0</v>
      </c>
      <c r="BL114" s="76"/>
      <c r="BN114" s="76"/>
      <c r="BO114" s="76"/>
      <c r="BP114" s="76"/>
      <c r="BQ114" s="76"/>
      <c r="BR114" s="76"/>
      <c r="BS114" s="77"/>
      <c r="BT114" s="77"/>
      <c r="BW114" s="81" t="s">
        <v>349</v>
      </c>
      <c r="BX114" s="79"/>
      <c r="BY114" s="79"/>
      <c r="BZ114" s="79"/>
      <c r="CA114" s="79"/>
      <c r="CB114" s="81" t="s">
        <v>349</v>
      </c>
      <c r="CC114" s="77"/>
      <c r="CD114" s="77"/>
      <c r="CE114" s="79"/>
      <c r="CF114" s="77"/>
      <c r="CG114" s="79"/>
      <c r="CH114" s="77"/>
      <c r="CI114" s="77"/>
      <c r="CK114" s="81" t="s">
        <v>349</v>
      </c>
      <c r="CO114" s="81" t="s">
        <v>349</v>
      </c>
      <c r="FH114" s="81" t="s">
        <v>349</v>
      </c>
      <c r="GI114" s="81" t="s">
        <v>349</v>
      </c>
      <c r="IC114" s="81" t="s">
        <v>349</v>
      </c>
      <c r="ID114" s="81" t="s">
        <v>349</v>
      </c>
      <c r="IE114" s="81" t="s">
        <v>349</v>
      </c>
      <c r="JF114" s="81" t="s">
        <v>349</v>
      </c>
      <c r="JG114" s="81" t="s">
        <v>349</v>
      </c>
      <c r="JH114" s="81" t="s">
        <v>349</v>
      </c>
      <c r="JI114" s="81" t="s">
        <v>349</v>
      </c>
    </row>
    <row r="115" spans="1:269" x14ac:dyDescent="0.15">
      <c r="A115" s="214" t="s">
        <v>502</v>
      </c>
      <c r="B115" s="6" t="s">
        <v>24</v>
      </c>
      <c r="C115" s="6">
        <v>15000</v>
      </c>
      <c r="D115" s="6">
        <v>16</v>
      </c>
      <c r="E115" s="6">
        <v>5</v>
      </c>
      <c r="F115" s="6">
        <v>1</v>
      </c>
      <c r="G115" s="6" t="s">
        <v>36</v>
      </c>
      <c r="H115" s="6" t="s">
        <v>40</v>
      </c>
      <c r="I115" s="6" t="s">
        <v>96</v>
      </c>
      <c r="J115" s="21" t="s">
        <v>149</v>
      </c>
      <c r="K115" s="21">
        <v>2</v>
      </c>
      <c r="L115" s="21">
        <v>1</v>
      </c>
      <c r="M115" s="21">
        <v>0</v>
      </c>
      <c r="N115" s="21">
        <v>0</v>
      </c>
      <c r="O115" s="21">
        <v>0</v>
      </c>
      <c r="P115" s="21" t="str">
        <f>IF(TeamT[[#This Row],[General]]+TeamT[[#This Row],[Agility]]+TeamT[[#This Row],[Strength]]+TeamT[[#This Row],[Passing]]+TeamT[[#This Row],[Mutation]]&gt;0,IF(TeamT[[#This Row],[General]]=1,"G","")&amp;IF(TeamT[[#This Row],[Agility]]=1,"A","")&amp;IF(TeamT[[#This Row],[Strength]]=1,"S","")&amp;IF(TeamT[[#This Row],[Passing]]=1,"P","")&amp;IF(TeamT[[#This Row],[Mutation]]=1,"M",""),"Star")</f>
        <v>A</v>
      </c>
      <c r="Q115" s="21" t="str">
        <f>IF(TeamT[[#This Row],[General]]=2,"G","")&amp;IF(TeamT[[#This Row],[Agility]]=2,"A","")&amp;IF(TeamT[[#This Row],[Strength]]=2,"S","")&amp;IF(TeamT[[#This Row],[Passing]]=2,"P","")&amp;IF(TeamT[[#This Row],[Mutation]]=2,"M","")</f>
        <v>G</v>
      </c>
      <c r="R115" s="212"/>
      <c r="S115" s="21">
        <v>3</v>
      </c>
      <c r="T115" s="21">
        <v>5</v>
      </c>
      <c r="U115" s="21">
        <v>6</v>
      </c>
      <c r="AA115" s="76" t="e">
        <f>HLOOKUP(Roster!$E$5,Team!$BL$2:$MK$128,114,FALSE)</f>
        <v>#N/A</v>
      </c>
      <c r="AB115" s="76" t="e">
        <f>HLOOKUP(Roster!$E$6,Team!$BL$2:$MK$128,114,FALSE)</f>
        <v>#N/A</v>
      </c>
      <c r="AC115" s="76" t="e">
        <f>HLOOKUP(Roster!$E$7,Team!$BL$2:$MK$128,114,FALSE)</f>
        <v>#N/A</v>
      </c>
      <c r="AD115" s="76" t="e">
        <f>HLOOKUP(Roster!$E$8,Team!$BL$2:$MK$128,114,FALSE)</f>
        <v>#N/A</v>
      </c>
      <c r="AE115" s="76" t="e">
        <f>HLOOKUP(Roster!$E$9,Team!$BL$2:$MK$128,114,FALSE)</f>
        <v>#N/A</v>
      </c>
      <c r="AF115" s="76" t="e">
        <f>HLOOKUP(Roster!$E$10,Team!$BL$2:$MK$128,114,FALSE)</f>
        <v>#N/A</v>
      </c>
      <c r="AG115" s="76" t="e">
        <f>HLOOKUP(Roster!$E$11,Team!$BL$2:$MK$128,114,FALSE)</f>
        <v>#N/A</v>
      </c>
      <c r="AH115" s="76" t="e">
        <f>HLOOKUP(Roster!$E$12,Team!$BL$2:$MK$128,114,FALSE)</f>
        <v>#N/A</v>
      </c>
      <c r="AI115" s="76" t="e">
        <f>HLOOKUP(Roster!$E$13,Team!$BL$2:$MK$128,114,FALSE)</f>
        <v>#N/A</v>
      </c>
      <c r="AJ115" s="76" t="e">
        <f>HLOOKUP(Roster!$E$14,Team!$BL$2:$MK$128,114,FALSE)</f>
        <v>#N/A</v>
      </c>
      <c r="AK115" s="76" t="e">
        <f>HLOOKUP(Roster!$E$15,Team!$BL$2:$MK$128,114,FALSE)</f>
        <v>#N/A</v>
      </c>
      <c r="AL115" s="76" t="e">
        <f>HLOOKUP(Roster!$E$16,Team!$BL$2:$MK$128,114,FALSE)</f>
        <v>#N/A</v>
      </c>
      <c r="AM115" s="76" t="e">
        <f>HLOOKUP(Roster!$E$17,Team!$BL$2:$MK$128,114,FALSE)</f>
        <v>#N/A</v>
      </c>
      <c r="AN115" s="76" t="e">
        <f>HLOOKUP(Roster!$E$18,Team!$BL$2:$MK$128,114,FALSE)</f>
        <v>#N/A</v>
      </c>
      <c r="AO115" s="76" t="e">
        <f>HLOOKUP(Roster!$E$19,Team!$BL$2:$MK$128,114,FALSE)</f>
        <v>#N/A</v>
      </c>
      <c r="AP115" s="76" t="e">
        <f>HLOOKUP(Roster!$E$20,Team!$BL$2:$MK$128,114,FALSE)</f>
        <v>#N/A</v>
      </c>
      <c r="AR115" s="108">
        <f t="shared" si="17"/>
        <v>0</v>
      </c>
      <c r="AS115" s="108">
        <f t="shared" si="18"/>
        <v>0</v>
      </c>
      <c r="AT115" s="108">
        <f t="shared" si="19"/>
        <v>0</v>
      </c>
      <c r="AU115" s="108">
        <f t="shared" si="20"/>
        <v>0</v>
      </c>
      <c r="AV115" s="108">
        <f t="shared" si="21"/>
        <v>0</v>
      </c>
      <c r="AW115" s="108">
        <f t="shared" si="22"/>
        <v>0</v>
      </c>
      <c r="AX115" s="108">
        <f t="shared" si="23"/>
        <v>0</v>
      </c>
      <c r="AY115" s="108">
        <f t="shared" si="24"/>
        <v>0</v>
      </c>
      <c r="AZ115" s="108">
        <f t="shared" si="25"/>
        <v>0</v>
      </c>
      <c r="BA115" s="108">
        <f t="shared" si="26"/>
        <v>0</v>
      </c>
      <c r="BB115" s="108">
        <f t="shared" si="27"/>
        <v>0</v>
      </c>
      <c r="BC115" s="108">
        <f t="shared" si="28"/>
        <v>0</v>
      </c>
      <c r="BD115" s="108">
        <f t="shared" si="29"/>
        <v>0</v>
      </c>
      <c r="BE115" s="108">
        <f t="shared" si="30"/>
        <v>0</v>
      </c>
      <c r="BF115" s="108">
        <f t="shared" si="31"/>
        <v>0</v>
      </c>
      <c r="BG115" s="108">
        <f t="shared" si="32"/>
        <v>0</v>
      </c>
      <c r="BL115" s="76"/>
      <c r="BN115" s="76"/>
      <c r="BO115" s="76"/>
      <c r="BP115" s="76"/>
      <c r="BQ115" s="76"/>
      <c r="BR115" s="76"/>
      <c r="BS115" s="77"/>
      <c r="BT115" s="77"/>
      <c r="BW115" s="81" t="s">
        <v>350</v>
      </c>
      <c r="BX115" s="79"/>
      <c r="BY115" s="79"/>
      <c r="BZ115" s="79"/>
      <c r="CA115" s="79"/>
      <c r="CB115" s="81" t="s">
        <v>350</v>
      </c>
      <c r="CC115" s="77"/>
      <c r="CD115" s="77"/>
      <c r="CE115" s="79"/>
      <c r="CF115" s="77"/>
      <c r="CG115" s="79"/>
      <c r="CH115" s="77"/>
      <c r="CI115" s="77"/>
      <c r="CK115" s="81" t="s">
        <v>350</v>
      </c>
      <c r="CO115" s="81" t="s">
        <v>350</v>
      </c>
      <c r="FH115" s="81" t="s">
        <v>350</v>
      </c>
      <c r="GI115" s="81" t="s">
        <v>350</v>
      </c>
      <c r="IC115" s="81" t="s">
        <v>350</v>
      </c>
      <c r="ID115" s="81" t="s">
        <v>350</v>
      </c>
      <c r="IE115" s="81" t="s">
        <v>350</v>
      </c>
      <c r="JF115" s="81" t="s">
        <v>350</v>
      </c>
      <c r="JG115" s="81" t="s">
        <v>350</v>
      </c>
      <c r="JH115" s="81" t="s">
        <v>350</v>
      </c>
      <c r="JI115" s="81" t="s">
        <v>350</v>
      </c>
    </row>
    <row r="116" spans="1:269" x14ac:dyDescent="0.15">
      <c r="A116" s="214" t="s">
        <v>147</v>
      </c>
      <c r="B116" s="6" t="s">
        <v>24</v>
      </c>
      <c r="C116" s="6">
        <v>145000</v>
      </c>
      <c r="D116" s="6">
        <v>1</v>
      </c>
      <c r="E116" s="6">
        <v>5</v>
      </c>
      <c r="F116" s="6">
        <v>5</v>
      </c>
      <c r="G116" s="6" t="s">
        <v>37</v>
      </c>
      <c r="H116" s="6" t="s">
        <v>37</v>
      </c>
      <c r="I116" s="6" t="s">
        <v>41</v>
      </c>
      <c r="J116" s="21" t="s">
        <v>151</v>
      </c>
      <c r="K116" s="21">
        <v>2</v>
      </c>
      <c r="L116" s="21">
        <v>2</v>
      </c>
      <c r="M116" s="21">
        <v>1</v>
      </c>
      <c r="N116" s="21">
        <v>1</v>
      </c>
      <c r="O116" s="21">
        <v>0</v>
      </c>
      <c r="P116" s="21" t="str">
        <f>IF(TeamT[[#This Row],[General]]+TeamT[[#This Row],[Agility]]+TeamT[[#This Row],[Strength]]+TeamT[[#This Row],[Passing]]+TeamT[[#This Row],[Mutation]]&gt;0,IF(TeamT[[#This Row],[General]]=1,"G","")&amp;IF(TeamT[[#This Row],[Agility]]=1,"A","")&amp;IF(TeamT[[#This Row],[Strength]]=1,"S","")&amp;IF(TeamT[[#This Row],[Passing]]=1,"P","")&amp;IF(TeamT[[#This Row],[Mutation]]=1,"M",""),"Star")</f>
        <v>SP</v>
      </c>
      <c r="Q116" s="21" t="str">
        <f>IF(TeamT[[#This Row],[General]]=2,"G","")&amp;IF(TeamT[[#This Row],[Agility]]=2,"A","")&amp;IF(TeamT[[#This Row],[Strength]]=2,"S","")&amp;IF(TeamT[[#This Row],[Passing]]=2,"P","")&amp;IF(TeamT[[#This Row],[Mutation]]=2,"M","")</f>
        <v>GA</v>
      </c>
      <c r="R116" s="212"/>
      <c r="S116" s="21">
        <v>4</v>
      </c>
      <c r="T116" s="21">
        <v>4</v>
      </c>
      <c r="U116" s="21">
        <v>10</v>
      </c>
      <c r="AA116" s="76" t="e">
        <f>HLOOKUP(Roster!$E$5,Team!$BL$2:$MK$128,115,FALSE)</f>
        <v>#N/A</v>
      </c>
      <c r="AB116" s="76" t="e">
        <f>HLOOKUP(Roster!$E$6,Team!$BL$2:$MK$128,115,FALSE)</f>
        <v>#N/A</v>
      </c>
      <c r="AC116" s="76" t="e">
        <f>HLOOKUP(Roster!$E$7,Team!$BL$2:$MK$128,115,FALSE)</f>
        <v>#N/A</v>
      </c>
      <c r="AD116" s="76" t="e">
        <f>HLOOKUP(Roster!$E$8,Team!$BL$2:$MK$128,115,FALSE)</f>
        <v>#N/A</v>
      </c>
      <c r="AE116" s="76" t="e">
        <f>HLOOKUP(Roster!$E$9,Team!$BL$2:$MK$128,115,FALSE)</f>
        <v>#N/A</v>
      </c>
      <c r="AF116" s="76" t="e">
        <f>HLOOKUP(Roster!$E$10,Team!$BL$2:$MK$128,115,FALSE)</f>
        <v>#N/A</v>
      </c>
      <c r="AG116" s="76" t="e">
        <f>HLOOKUP(Roster!$E$11,Team!$BL$2:$MK$128,115,FALSE)</f>
        <v>#N/A</v>
      </c>
      <c r="AH116" s="76" t="e">
        <f>HLOOKUP(Roster!$E$12,Team!$BL$2:$MK$128,115,FALSE)</f>
        <v>#N/A</v>
      </c>
      <c r="AI116" s="76" t="e">
        <f>HLOOKUP(Roster!$E$13,Team!$BL$2:$MK$128,115,FALSE)</f>
        <v>#N/A</v>
      </c>
      <c r="AJ116" s="76" t="e">
        <f>HLOOKUP(Roster!$E$14,Team!$BL$2:$MK$128,115,FALSE)</f>
        <v>#N/A</v>
      </c>
      <c r="AK116" s="76" t="e">
        <f>HLOOKUP(Roster!$E$15,Team!$BL$2:$MK$128,115,FALSE)</f>
        <v>#N/A</v>
      </c>
      <c r="AL116" s="76" t="e">
        <f>HLOOKUP(Roster!$E$16,Team!$BL$2:$MK$128,115,FALSE)</f>
        <v>#N/A</v>
      </c>
      <c r="AM116" s="76" t="e">
        <f>HLOOKUP(Roster!$E$17,Team!$BL$2:$MK$128,115,FALSE)</f>
        <v>#N/A</v>
      </c>
      <c r="AN116" s="76" t="e">
        <f>HLOOKUP(Roster!$E$18,Team!$BL$2:$MK$128,115,FALSE)</f>
        <v>#N/A</v>
      </c>
      <c r="AO116" s="76" t="e">
        <f>HLOOKUP(Roster!$E$19,Team!$BL$2:$MK$128,115,FALSE)</f>
        <v>#N/A</v>
      </c>
      <c r="AP116" s="76" t="e">
        <f>HLOOKUP(Roster!$E$20,Team!$BL$2:$MK$128,115,FALSE)</f>
        <v>#N/A</v>
      </c>
      <c r="AR116" s="108">
        <f t="shared" si="17"/>
        <v>0</v>
      </c>
      <c r="AS116" s="108">
        <f t="shared" si="18"/>
        <v>0</v>
      </c>
      <c r="AT116" s="108">
        <f t="shared" si="19"/>
        <v>0</v>
      </c>
      <c r="AU116" s="108">
        <f t="shared" si="20"/>
        <v>0</v>
      </c>
      <c r="AV116" s="108">
        <f t="shared" si="21"/>
        <v>0</v>
      </c>
      <c r="AW116" s="108">
        <f t="shared" si="22"/>
        <v>0</v>
      </c>
      <c r="AX116" s="108">
        <f t="shared" si="23"/>
        <v>0</v>
      </c>
      <c r="AY116" s="108">
        <f t="shared" si="24"/>
        <v>0</v>
      </c>
      <c r="AZ116" s="108">
        <f t="shared" si="25"/>
        <v>0</v>
      </c>
      <c r="BA116" s="108">
        <f t="shared" si="26"/>
        <v>0</v>
      </c>
      <c r="BB116" s="108">
        <f t="shared" si="27"/>
        <v>0</v>
      </c>
      <c r="BC116" s="108">
        <f t="shared" si="28"/>
        <v>0</v>
      </c>
      <c r="BD116" s="108">
        <f t="shared" si="29"/>
        <v>0</v>
      </c>
      <c r="BE116" s="108">
        <f t="shared" si="30"/>
        <v>0</v>
      </c>
      <c r="BF116" s="108">
        <f t="shared" si="31"/>
        <v>0</v>
      </c>
      <c r="BG116" s="108">
        <f t="shared" si="32"/>
        <v>0</v>
      </c>
      <c r="BL116" s="76"/>
      <c r="BN116" s="76"/>
      <c r="BO116" s="76"/>
      <c r="BP116" s="76"/>
      <c r="BQ116" s="76"/>
      <c r="BR116" s="76"/>
      <c r="BS116" s="77"/>
      <c r="BT116" s="77"/>
      <c r="BW116" s="81" t="s">
        <v>351</v>
      </c>
      <c r="BX116" s="79"/>
      <c r="BY116" s="79"/>
      <c r="BZ116" s="79"/>
      <c r="CA116" s="79"/>
      <c r="CB116" s="81" t="s">
        <v>351</v>
      </c>
      <c r="CC116" s="77"/>
      <c r="CD116" s="77"/>
      <c r="CE116" s="79"/>
      <c r="CF116" s="77"/>
      <c r="CG116" s="79"/>
      <c r="CH116" s="77"/>
      <c r="CI116" s="77"/>
      <c r="CK116" s="81" t="s">
        <v>351</v>
      </c>
      <c r="CO116" s="81" t="s">
        <v>351</v>
      </c>
      <c r="FH116" s="81" t="s">
        <v>351</v>
      </c>
      <c r="GI116" s="81" t="s">
        <v>351</v>
      </c>
      <c r="IC116" s="81" t="s">
        <v>351</v>
      </c>
      <c r="ID116" s="81" t="s">
        <v>351</v>
      </c>
      <c r="IE116" s="81" t="s">
        <v>351</v>
      </c>
      <c r="JF116" s="81" t="s">
        <v>351</v>
      </c>
      <c r="JG116" s="81" t="s">
        <v>351</v>
      </c>
      <c r="JH116" s="81" t="s">
        <v>351</v>
      </c>
      <c r="JI116" s="81" t="s">
        <v>351</v>
      </c>
    </row>
    <row r="117" spans="1:269" x14ac:dyDescent="0.15">
      <c r="A117" s="214" t="s">
        <v>148</v>
      </c>
      <c r="B117" s="6" t="s">
        <v>24</v>
      </c>
      <c r="C117" s="6">
        <v>140000</v>
      </c>
      <c r="D117" s="6">
        <v>5</v>
      </c>
      <c r="E117" s="6">
        <v>5</v>
      </c>
      <c r="F117" s="6">
        <v>5</v>
      </c>
      <c r="G117" s="6" t="s">
        <v>37</v>
      </c>
      <c r="H117" s="6" t="s">
        <v>40</v>
      </c>
      <c r="I117" s="6" t="s">
        <v>41</v>
      </c>
      <c r="J117" s="21" t="s">
        <v>150</v>
      </c>
      <c r="K117" s="21">
        <v>2</v>
      </c>
      <c r="L117" s="21">
        <v>2</v>
      </c>
      <c r="M117" s="21">
        <v>1</v>
      </c>
      <c r="N117" s="21">
        <v>2</v>
      </c>
      <c r="O117" s="21">
        <v>0</v>
      </c>
      <c r="P117" s="21" t="str">
        <f>IF(TeamT[[#This Row],[General]]+TeamT[[#This Row],[Agility]]+TeamT[[#This Row],[Strength]]+TeamT[[#This Row],[Passing]]+TeamT[[#This Row],[Mutation]]&gt;0,IF(TeamT[[#This Row],[General]]=1,"G","")&amp;IF(TeamT[[#This Row],[Agility]]=1,"A","")&amp;IF(TeamT[[#This Row],[Strength]]=1,"S","")&amp;IF(TeamT[[#This Row],[Passing]]=1,"P","")&amp;IF(TeamT[[#This Row],[Mutation]]=1,"M",""),"Star")</f>
        <v>S</v>
      </c>
      <c r="Q117" s="21" t="str">
        <f>IF(TeamT[[#This Row],[General]]=2,"G","")&amp;IF(TeamT[[#This Row],[Agility]]=2,"A","")&amp;IF(TeamT[[#This Row],[Strength]]=2,"S","")&amp;IF(TeamT[[#This Row],[Passing]]=2,"P","")&amp;IF(TeamT[[#This Row],[Mutation]]=2,"M","")</f>
        <v>GAP</v>
      </c>
      <c r="R117" s="212"/>
      <c r="S117" s="21">
        <v>4</v>
      </c>
      <c r="T117" s="21">
        <v>5</v>
      </c>
      <c r="U117" s="21">
        <v>10</v>
      </c>
      <c r="AA117" s="76" t="e">
        <f>HLOOKUP(Roster!$E$5,Team!$BL$2:$MK$128,116,FALSE)</f>
        <v>#N/A</v>
      </c>
      <c r="AB117" s="76" t="e">
        <f>HLOOKUP(Roster!$E$6,Team!$BL$2:$MK$128,116,FALSE)</f>
        <v>#N/A</v>
      </c>
      <c r="AC117" s="76" t="e">
        <f>HLOOKUP(Roster!$E$7,Team!$BL$2:$MK$128,116,FALSE)</f>
        <v>#N/A</v>
      </c>
      <c r="AD117" s="76" t="e">
        <f>HLOOKUP(Roster!$E$8,Team!$BL$2:$MK$128,116,FALSE)</f>
        <v>#N/A</v>
      </c>
      <c r="AE117" s="76" t="e">
        <f>HLOOKUP(Roster!$E$9,Team!$BL$2:$MK$128,116,FALSE)</f>
        <v>#N/A</v>
      </c>
      <c r="AF117" s="76" t="e">
        <f>HLOOKUP(Roster!$E$10,Team!$BL$2:$MK$128,116,FALSE)</f>
        <v>#N/A</v>
      </c>
      <c r="AG117" s="76" t="e">
        <f>HLOOKUP(Roster!$E$11,Team!$BL$2:$MK$128,116,FALSE)</f>
        <v>#N/A</v>
      </c>
      <c r="AH117" s="76" t="e">
        <f>HLOOKUP(Roster!$E$12,Team!$BL$2:$MK$128,116,FALSE)</f>
        <v>#N/A</v>
      </c>
      <c r="AI117" s="76" t="e">
        <f>HLOOKUP(Roster!$E$13,Team!$BL$2:$MK$128,116,FALSE)</f>
        <v>#N/A</v>
      </c>
      <c r="AJ117" s="76" t="e">
        <f>HLOOKUP(Roster!$E$14,Team!$BL$2:$MK$128,116,FALSE)</f>
        <v>#N/A</v>
      </c>
      <c r="AK117" s="76" t="e">
        <f>HLOOKUP(Roster!$E$15,Team!$BL$2:$MK$128,116,FALSE)</f>
        <v>#N/A</v>
      </c>
      <c r="AL117" s="76" t="e">
        <f>HLOOKUP(Roster!$E$16,Team!$BL$2:$MK$128,116,FALSE)</f>
        <v>#N/A</v>
      </c>
      <c r="AM117" s="76" t="e">
        <f>HLOOKUP(Roster!$E$17,Team!$BL$2:$MK$128,116,FALSE)</f>
        <v>#N/A</v>
      </c>
      <c r="AN117" s="76" t="e">
        <f>HLOOKUP(Roster!$E$18,Team!$BL$2:$MK$128,116,FALSE)</f>
        <v>#N/A</v>
      </c>
      <c r="AO117" s="76" t="e">
        <f>HLOOKUP(Roster!$E$19,Team!$BL$2:$MK$128,116,FALSE)</f>
        <v>#N/A</v>
      </c>
      <c r="AP117" s="76" t="e">
        <f>HLOOKUP(Roster!$E$20,Team!$BL$2:$MK$128,116,FALSE)</f>
        <v>#N/A</v>
      </c>
      <c r="AR117" s="108">
        <f t="shared" si="17"/>
        <v>0</v>
      </c>
      <c r="AS117" s="108">
        <f t="shared" si="18"/>
        <v>0</v>
      </c>
      <c r="AT117" s="108">
        <f t="shared" si="19"/>
        <v>0</v>
      </c>
      <c r="AU117" s="108">
        <f t="shared" si="20"/>
        <v>0</v>
      </c>
      <c r="AV117" s="108">
        <f t="shared" si="21"/>
        <v>0</v>
      </c>
      <c r="AW117" s="108">
        <f t="shared" si="22"/>
        <v>0</v>
      </c>
      <c r="AX117" s="108">
        <f t="shared" si="23"/>
        <v>0</v>
      </c>
      <c r="AY117" s="108">
        <f t="shared" si="24"/>
        <v>0</v>
      </c>
      <c r="AZ117" s="108">
        <f t="shared" si="25"/>
        <v>0</v>
      </c>
      <c r="BA117" s="108">
        <f t="shared" si="26"/>
        <v>0</v>
      </c>
      <c r="BB117" s="108">
        <f t="shared" si="27"/>
        <v>0</v>
      </c>
      <c r="BC117" s="108">
        <f t="shared" si="28"/>
        <v>0</v>
      </c>
      <c r="BD117" s="108">
        <f t="shared" si="29"/>
        <v>0</v>
      </c>
      <c r="BE117" s="108">
        <f t="shared" si="30"/>
        <v>0</v>
      </c>
      <c r="BF117" s="108">
        <f t="shared" si="31"/>
        <v>0</v>
      </c>
      <c r="BG117" s="108">
        <f t="shared" si="32"/>
        <v>0</v>
      </c>
      <c r="BL117" s="76"/>
      <c r="BN117" s="76"/>
      <c r="BO117" s="76"/>
      <c r="BP117" s="76"/>
      <c r="BQ117" s="76"/>
      <c r="BR117" s="76"/>
      <c r="BS117" s="77"/>
      <c r="BT117" s="77"/>
      <c r="BW117" s="81" t="s">
        <v>352</v>
      </c>
      <c r="BX117" s="79"/>
      <c r="BY117" s="79"/>
      <c r="BZ117" s="79"/>
      <c r="CA117" s="79"/>
      <c r="CB117" s="81" t="s">
        <v>352</v>
      </c>
      <c r="CC117" s="77"/>
      <c r="CD117" s="77"/>
      <c r="CE117" s="79"/>
      <c r="CF117" s="77"/>
      <c r="CG117" s="79"/>
      <c r="CH117" s="77"/>
      <c r="CI117" s="77"/>
      <c r="CK117" s="81" t="s">
        <v>352</v>
      </c>
      <c r="CO117" s="81" t="s">
        <v>352</v>
      </c>
      <c r="FH117" s="81" t="s">
        <v>352</v>
      </c>
      <c r="GI117" s="81" t="s">
        <v>352</v>
      </c>
      <c r="IC117" s="81" t="s">
        <v>352</v>
      </c>
      <c r="ID117" s="81" t="s">
        <v>352</v>
      </c>
      <c r="IE117" s="81" t="s">
        <v>352</v>
      </c>
      <c r="JF117" s="81" t="s">
        <v>352</v>
      </c>
      <c r="JG117" s="81" t="s">
        <v>352</v>
      </c>
      <c r="JH117" s="81" t="s">
        <v>352</v>
      </c>
      <c r="JI117" s="81" t="s">
        <v>352</v>
      </c>
    </row>
    <row r="118" spans="1:269" x14ac:dyDescent="0.15">
      <c r="A118" s="214" t="s">
        <v>549</v>
      </c>
      <c r="B118" s="6" t="s">
        <v>24</v>
      </c>
      <c r="C118" s="6">
        <v>15000</v>
      </c>
      <c r="D118" s="6">
        <v>11</v>
      </c>
      <c r="E118" s="6">
        <v>5</v>
      </c>
      <c r="F118" s="6">
        <v>1</v>
      </c>
      <c r="G118" s="6" t="s">
        <v>36</v>
      </c>
      <c r="H118" s="6" t="s">
        <v>40</v>
      </c>
      <c r="I118" s="6" t="s">
        <v>96</v>
      </c>
      <c r="J118" s="21" t="s">
        <v>709</v>
      </c>
      <c r="K118" s="21">
        <v>2</v>
      </c>
      <c r="L118" s="21">
        <v>1</v>
      </c>
      <c r="M118" s="21">
        <v>0</v>
      </c>
      <c r="N118" s="21">
        <v>0</v>
      </c>
      <c r="O118" s="21">
        <v>0</v>
      </c>
      <c r="P118" s="21" t="str">
        <f>IF(TeamT[[#This Row],[General]]+TeamT[[#This Row],[Agility]]+TeamT[[#This Row],[Strength]]+TeamT[[#This Row],[Passing]]+TeamT[[#This Row],[Mutation]]&gt;0,IF(TeamT[[#This Row],[General]]=1,"G","")&amp;IF(TeamT[[#This Row],[Agility]]=1,"A","")&amp;IF(TeamT[[#This Row],[Strength]]=1,"S","")&amp;IF(TeamT[[#This Row],[Passing]]=1,"P","")&amp;IF(TeamT[[#This Row],[Mutation]]=1,"M",""),"Star")</f>
        <v>A</v>
      </c>
      <c r="Q118" s="21" t="str">
        <f>IF(TeamT[[#This Row],[General]]=2,"G","")&amp;IF(TeamT[[#This Row],[Agility]]=2,"A","")&amp;IF(TeamT[[#This Row],[Strength]]=2,"S","")&amp;IF(TeamT[[#This Row],[Passing]]=2,"P","")&amp;IF(TeamT[[#This Row],[Mutation]]=2,"M","")</f>
        <v>G</v>
      </c>
      <c r="R118" s="212"/>
      <c r="S118" s="21">
        <v>3</v>
      </c>
      <c r="T118" s="21">
        <v>5</v>
      </c>
      <c r="U118" s="21">
        <v>6</v>
      </c>
      <c r="AA118" s="76" t="e">
        <f>HLOOKUP(Roster!$E$5,Team!$BL$2:$MK$128,117,FALSE)</f>
        <v>#N/A</v>
      </c>
      <c r="AB118" s="76" t="e">
        <f>HLOOKUP(Roster!$E$6,Team!$BL$2:$MK$128,117,FALSE)</f>
        <v>#N/A</v>
      </c>
      <c r="AC118" s="76" t="e">
        <f>HLOOKUP(Roster!$E$7,Team!$BL$2:$MK$128,117,FALSE)</f>
        <v>#N/A</v>
      </c>
      <c r="AD118" s="76" t="e">
        <f>HLOOKUP(Roster!$E$8,Team!$BL$2:$MK$128,117,FALSE)</f>
        <v>#N/A</v>
      </c>
      <c r="AE118" s="76" t="e">
        <f>HLOOKUP(Roster!$E$9,Team!$BL$2:$MK$128,117,FALSE)</f>
        <v>#N/A</v>
      </c>
      <c r="AF118" s="76" t="e">
        <f>HLOOKUP(Roster!$E$10,Team!$BL$2:$MK$128,117,FALSE)</f>
        <v>#N/A</v>
      </c>
      <c r="AG118" s="76" t="e">
        <f>HLOOKUP(Roster!$E$11,Team!$BL$2:$MK$128,117,FALSE)</f>
        <v>#N/A</v>
      </c>
      <c r="AH118" s="76" t="e">
        <f>HLOOKUP(Roster!$E$12,Team!$BL$2:$MK$128,117,FALSE)</f>
        <v>#N/A</v>
      </c>
      <c r="AI118" s="76" t="e">
        <f>HLOOKUP(Roster!$E$13,Team!$BL$2:$MK$128,117,FALSE)</f>
        <v>#N/A</v>
      </c>
      <c r="AJ118" s="76" t="e">
        <f>HLOOKUP(Roster!$E$14,Team!$BL$2:$MK$128,117,FALSE)</f>
        <v>#N/A</v>
      </c>
      <c r="AK118" s="76" t="e">
        <f>HLOOKUP(Roster!$E$15,Team!$BL$2:$MK$128,117,FALSE)</f>
        <v>#N/A</v>
      </c>
      <c r="AL118" s="76" t="e">
        <f>HLOOKUP(Roster!$E$16,Team!$BL$2:$MK$128,117,FALSE)</f>
        <v>#N/A</v>
      </c>
      <c r="AM118" s="76" t="e">
        <f>HLOOKUP(Roster!$E$17,Team!$BL$2:$MK$128,117,FALSE)</f>
        <v>#N/A</v>
      </c>
      <c r="AN118" s="76" t="e">
        <f>HLOOKUP(Roster!$E$18,Team!$BL$2:$MK$128,117,FALSE)</f>
        <v>#N/A</v>
      </c>
      <c r="AO118" s="76" t="e">
        <f>HLOOKUP(Roster!$E$19,Team!$BL$2:$MK$128,117,FALSE)</f>
        <v>#N/A</v>
      </c>
      <c r="AP118" s="76" t="e">
        <f>HLOOKUP(Roster!$E$20,Team!$BL$2:$MK$128,117,FALSE)</f>
        <v>#N/A</v>
      </c>
      <c r="AR118" s="108">
        <f t="shared" si="17"/>
        <v>0</v>
      </c>
      <c r="AS118" s="108">
        <f t="shared" si="18"/>
        <v>0</v>
      </c>
      <c r="AT118" s="108">
        <f t="shared" si="19"/>
        <v>0</v>
      </c>
      <c r="AU118" s="108">
        <f t="shared" si="20"/>
        <v>0</v>
      </c>
      <c r="AV118" s="108">
        <f t="shared" si="21"/>
        <v>0</v>
      </c>
      <c r="AW118" s="108">
        <f t="shared" si="22"/>
        <v>0</v>
      </c>
      <c r="AX118" s="108">
        <f t="shared" si="23"/>
        <v>0</v>
      </c>
      <c r="AY118" s="108">
        <f t="shared" si="24"/>
        <v>0</v>
      </c>
      <c r="AZ118" s="108">
        <f t="shared" si="25"/>
        <v>0</v>
      </c>
      <c r="BA118" s="108">
        <f t="shared" si="26"/>
        <v>0</v>
      </c>
      <c r="BB118" s="108">
        <f t="shared" si="27"/>
        <v>0</v>
      </c>
      <c r="BC118" s="108">
        <f t="shared" si="28"/>
        <v>0</v>
      </c>
      <c r="BD118" s="108">
        <f t="shared" si="29"/>
        <v>0</v>
      </c>
      <c r="BE118" s="108">
        <f t="shared" si="30"/>
        <v>0</v>
      </c>
      <c r="BF118" s="108">
        <f t="shared" si="31"/>
        <v>0</v>
      </c>
      <c r="BG118" s="108">
        <f t="shared" si="32"/>
        <v>0</v>
      </c>
      <c r="BL118" s="76"/>
      <c r="BM118" s="76"/>
      <c r="BN118" s="76"/>
      <c r="BO118" s="76"/>
      <c r="BP118" s="76"/>
      <c r="BQ118" s="76"/>
      <c r="BR118" s="76"/>
      <c r="BS118" s="77"/>
      <c r="BT118" s="77"/>
      <c r="BW118" s="80" t="s">
        <v>353</v>
      </c>
      <c r="BX118" s="79"/>
      <c r="BY118" s="79"/>
      <c r="BZ118" s="79"/>
      <c r="CA118" s="79"/>
      <c r="CB118" s="80" t="s">
        <v>353</v>
      </c>
      <c r="CC118" s="77"/>
      <c r="CD118" s="77"/>
      <c r="CE118" s="79"/>
      <c r="CF118" s="77"/>
      <c r="CG118" s="79"/>
      <c r="CH118" s="77"/>
      <c r="CI118" s="77"/>
      <c r="CK118" s="80" t="s">
        <v>353</v>
      </c>
      <c r="CO118" s="80" t="s">
        <v>353</v>
      </c>
      <c r="CV118" s="76"/>
      <c r="CW118" s="76"/>
      <c r="CX118" s="76"/>
      <c r="CY118" s="76"/>
      <c r="CZ118" s="76"/>
      <c r="FH118" s="80" t="s">
        <v>353</v>
      </c>
      <c r="GI118" s="80" t="s">
        <v>353</v>
      </c>
      <c r="IC118" s="80" t="s">
        <v>353</v>
      </c>
      <c r="ID118" s="80" t="s">
        <v>353</v>
      </c>
      <c r="IE118" s="80" t="s">
        <v>353</v>
      </c>
      <c r="JF118" s="80" t="s">
        <v>353</v>
      </c>
      <c r="JG118" s="80" t="s">
        <v>353</v>
      </c>
      <c r="JH118" s="80" t="s">
        <v>353</v>
      </c>
      <c r="JI118" s="80" t="s">
        <v>353</v>
      </c>
    </row>
    <row r="119" spans="1:269" x14ac:dyDescent="0.15">
      <c r="A119" s="214" t="s">
        <v>152</v>
      </c>
      <c r="B119" s="6" t="s">
        <v>489</v>
      </c>
      <c r="C119" s="6">
        <v>50000</v>
      </c>
      <c r="D119" s="6">
        <v>12</v>
      </c>
      <c r="E119" s="6">
        <v>6</v>
      </c>
      <c r="F119" s="6">
        <v>3</v>
      </c>
      <c r="G119" s="6" t="s">
        <v>36</v>
      </c>
      <c r="H119" s="6" t="s">
        <v>37</v>
      </c>
      <c r="I119" s="6" t="s">
        <v>46</v>
      </c>
      <c r="J119" s="21"/>
      <c r="K119" s="21">
        <v>1</v>
      </c>
      <c r="L119" s="21">
        <v>2</v>
      </c>
      <c r="M119" s="21">
        <v>2</v>
      </c>
      <c r="N119" s="21">
        <v>0</v>
      </c>
      <c r="O119" s="21">
        <v>0</v>
      </c>
      <c r="P119" s="21" t="str">
        <f>IF(TeamT[[#This Row],[General]]+TeamT[[#This Row],[Agility]]+TeamT[[#This Row],[Strength]]+TeamT[[#This Row],[Passing]]+TeamT[[#This Row],[Mutation]]&gt;0,IF(TeamT[[#This Row],[General]]=1,"G","")&amp;IF(TeamT[[#This Row],[Agility]]=1,"A","")&amp;IF(TeamT[[#This Row],[Strength]]=1,"S","")&amp;IF(TeamT[[#This Row],[Passing]]=1,"P","")&amp;IF(TeamT[[#This Row],[Mutation]]=1,"M",""),"Star")</f>
        <v>G</v>
      </c>
      <c r="Q119" s="21" t="str">
        <f>IF(TeamT[[#This Row],[General]]=2,"G","")&amp;IF(TeamT[[#This Row],[Agility]]=2,"A","")&amp;IF(TeamT[[#This Row],[Strength]]=2,"S","")&amp;IF(TeamT[[#This Row],[Passing]]=2,"P","")&amp;IF(TeamT[[#This Row],[Mutation]]=2,"M","")</f>
        <v>AS</v>
      </c>
      <c r="R119" s="212"/>
      <c r="S119" s="21">
        <v>3</v>
      </c>
      <c r="T119" s="21">
        <v>4</v>
      </c>
      <c r="U119" s="21">
        <v>9</v>
      </c>
      <c r="AA119" s="76" t="e">
        <f>HLOOKUP(Roster!$E$5,Team!$BL$2:$MK$128,118,FALSE)</f>
        <v>#N/A</v>
      </c>
      <c r="AB119" s="76" t="e">
        <f>HLOOKUP(Roster!$E$6,Team!$BL$2:$MK$128,118,FALSE)</f>
        <v>#N/A</v>
      </c>
      <c r="AC119" s="76" t="e">
        <f>HLOOKUP(Roster!$E$7,Team!$BL$2:$MK$128,118,FALSE)</f>
        <v>#N/A</v>
      </c>
      <c r="AD119" s="76" t="e">
        <f>HLOOKUP(Roster!$E$8,Team!$BL$2:$MK$128,118,FALSE)</f>
        <v>#N/A</v>
      </c>
      <c r="AE119" s="76" t="e">
        <f>HLOOKUP(Roster!$E$9,Team!$BL$2:$MK$128,118,FALSE)</f>
        <v>#N/A</v>
      </c>
      <c r="AF119" s="76" t="e">
        <f>HLOOKUP(Roster!$E$10,Team!$BL$2:$MK$128,118,FALSE)</f>
        <v>#N/A</v>
      </c>
      <c r="AG119" s="76" t="e">
        <f>HLOOKUP(Roster!$E$11,Team!$BL$2:$MK$128,118,FALSE)</f>
        <v>#N/A</v>
      </c>
      <c r="AH119" s="76" t="e">
        <f>HLOOKUP(Roster!$E$12,Team!$BL$2:$MK$128,118,FALSE)</f>
        <v>#N/A</v>
      </c>
      <c r="AI119" s="76" t="e">
        <f>HLOOKUP(Roster!$E$13,Team!$BL$2:$MK$128,118,FALSE)</f>
        <v>#N/A</v>
      </c>
      <c r="AJ119" s="76" t="e">
        <f>HLOOKUP(Roster!$E$14,Team!$BL$2:$MK$128,118,FALSE)</f>
        <v>#N/A</v>
      </c>
      <c r="AK119" s="76" t="e">
        <f>HLOOKUP(Roster!$E$15,Team!$BL$2:$MK$128,118,FALSE)</f>
        <v>#N/A</v>
      </c>
      <c r="AL119" s="76" t="e">
        <f>HLOOKUP(Roster!$E$16,Team!$BL$2:$MK$128,118,FALSE)</f>
        <v>#N/A</v>
      </c>
      <c r="AM119" s="76" t="e">
        <f>HLOOKUP(Roster!$E$17,Team!$BL$2:$MK$128,118,FALSE)</f>
        <v>#N/A</v>
      </c>
      <c r="AN119" s="76" t="e">
        <f>HLOOKUP(Roster!$E$18,Team!$BL$2:$MK$128,118,FALSE)</f>
        <v>#N/A</v>
      </c>
      <c r="AO119" s="76" t="e">
        <f>HLOOKUP(Roster!$E$19,Team!$BL$2:$MK$128,118,FALSE)</f>
        <v>#N/A</v>
      </c>
      <c r="AP119" s="76" t="e">
        <f>HLOOKUP(Roster!$E$20,Team!$BL$2:$MK$128,118,FALSE)</f>
        <v>#N/A</v>
      </c>
      <c r="AR119" s="108">
        <f t="shared" si="17"/>
        <v>0</v>
      </c>
      <c r="AS119" s="108">
        <f t="shared" si="18"/>
        <v>0</v>
      </c>
      <c r="AT119" s="108">
        <f t="shared" si="19"/>
        <v>0</v>
      </c>
      <c r="AU119" s="108">
        <f t="shared" si="20"/>
        <v>0</v>
      </c>
      <c r="AV119" s="108">
        <f t="shared" si="21"/>
        <v>0</v>
      </c>
      <c r="AW119" s="108">
        <f t="shared" si="22"/>
        <v>0</v>
      </c>
      <c r="AX119" s="108">
        <f t="shared" si="23"/>
        <v>0</v>
      </c>
      <c r="AY119" s="108">
        <f t="shared" si="24"/>
        <v>0</v>
      </c>
      <c r="AZ119" s="108">
        <f t="shared" si="25"/>
        <v>0</v>
      </c>
      <c r="BA119" s="108">
        <f t="shared" si="26"/>
        <v>0</v>
      </c>
      <c r="BB119" s="108">
        <f t="shared" si="27"/>
        <v>0</v>
      </c>
      <c r="BC119" s="108">
        <f t="shared" si="28"/>
        <v>0</v>
      </c>
      <c r="BD119" s="108">
        <f t="shared" si="29"/>
        <v>0</v>
      </c>
      <c r="BE119" s="108">
        <f t="shared" si="30"/>
        <v>0</v>
      </c>
      <c r="BF119" s="108">
        <f t="shared" si="31"/>
        <v>0</v>
      </c>
      <c r="BG119" s="108">
        <f t="shared" si="32"/>
        <v>0</v>
      </c>
      <c r="BL119" s="76"/>
      <c r="BM119" s="76"/>
      <c r="BN119" s="76"/>
      <c r="BO119" s="76"/>
      <c r="BP119" s="76"/>
      <c r="BQ119" s="76"/>
      <c r="BR119" s="76"/>
      <c r="BS119" s="77"/>
      <c r="BT119" s="77"/>
      <c r="BW119" s="81" t="s">
        <v>354</v>
      </c>
      <c r="BX119" s="79"/>
      <c r="BY119" s="79"/>
      <c r="BZ119" s="79"/>
      <c r="CA119" s="79"/>
      <c r="CB119" s="81" t="s">
        <v>354</v>
      </c>
      <c r="CC119" s="77"/>
      <c r="CD119" s="77"/>
      <c r="CE119" s="79"/>
      <c r="CF119" s="77"/>
      <c r="CG119" s="79"/>
      <c r="CH119" s="77"/>
      <c r="CI119" s="77"/>
      <c r="CK119" s="81" t="s">
        <v>354</v>
      </c>
      <c r="CO119" s="81" t="s">
        <v>354</v>
      </c>
      <c r="CV119" s="76"/>
      <c r="CW119" s="76"/>
      <c r="CX119" s="76"/>
      <c r="CY119" s="76"/>
      <c r="CZ119" s="76"/>
      <c r="FH119" s="81" t="s">
        <v>354</v>
      </c>
      <c r="GI119" s="81" t="s">
        <v>354</v>
      </c>
      <c r="IC119" s="81" t="s">
        <v>354</v>
      </c>
      <c r="ID119" s="81" t="s">
        <v>354</v>
      </c>
      <c r="IE119" s="81" t="s">
        <v>354</v>
      </c>
      <c r="JF119" s="81" t="s">
        <v>354</v>
      </c>
      <c r="JG119" s="81" t="s">
        <v>354</v>
      </c>
      <c r="JH119" s="81" t="s">
        <v>354</v>
      </c>
      <c r="JI119" s="81" t="s">
        <v>354</v>
      </c>
    </row>
    <row r="120" spans="1:269" x14ac:dyDescent="0.15">
      <c r="A120" s="214" t="s">
        <v>153</v>
      </c>
      <c r="B120" s="6" t="s">
        <v>489</v>
      </c>
      <c r="C120" s="6">
        <v>80000</v>
      </c>
      <c r="D120" s="6">
        <v>1</v>
      </c>
      <c r="E120" s="6">
        <v>6</v>
      </c>
      <c r="F120" s="6">
        <v>3</v>
      </c>
      <c r="G120" s="6" t="s">
        <v>36</v>
      </c>
      <c r="H120" s="6" t="s">
        <v>36</v>
      </c>
      <c r="I120" s="6" t="s">
        <v>46</v>
      </c>
      <c r="J120" s="21" t="s">
        <v>156</v>
      </c>
      <c r="K120" s="21">
        <v>1</v>
      </c>
      <c r="L120" s="21">
        <v>2</v>
      </c>
      <c r="M120" s="21">
        <v>2</v>
      </c>
      <c r="N120" s="21">
        <v>1</v>
      </c>
      <c r="O120" s="21">
        <v>0</v>
      </c>
      <c r="P120" s="21" t="str">
        <f>IF(TeamT[[#This Row],[General]]+TeamT[[#This Row],[Agility]]+TeamT[[#This Row],[Strength]]+TeamT[[#This Row],[Passing]]+TeamT[[#This Row],[Mutation]]&gt;0,IF(TeamT[[#This Row],[General]]=1,"G","")&amp;IF(TeamT[[#This Row],[Agility]]=1,"A","")&amp;IF(TeamT[[#This Row],[Strength]]=1,"S","")&amp;IF(TeamT[[#This Row],[Passing]]=1,"P","")&amp;IF(TeamT[[#This Row],[Mutation]]=1,"M",""),"Star")</f>
        <v>GP</v>
      </c>
      <c r="Q120" s="21" t="str">
        <f>IF(TeamT[[#This Row],[General]]=2,"G","")&amp;IF(TeamT[[#This Row],[Agility]]=2,"A","")&amp;IF(TeamT[[#This Row],[Strength]]=2,"S","")&amp;IF(TeamT[[#This Row],[Passing]]=2,"P","")&amp;IF(TeamT[[#This Row],[Mutation]]=2,"M","")</f>
        <v>AS</v>
      </c>
      <c r="R120" s="212"/>
      <c r="S120" s="21">
        <v>3</v>
      </c>
      <c r="T120" s="21">
        <v>3</v>
      </c>
      <c r="U120" s="21">
        <v>9</v>
      </c>
      <c r="AA120" s="76" t="e">
        <f>HLOOKUP(Roster!$E$5,Team!$BL$2:$MK$128,119,FALSE)</f>
        <v>#N/A</v>
      </c>
      <c r="AB120" s="76" t="e">
        <f>HLOOKUP(Roster!$E$6,Team!$BL$2:$MK$128,119,FALSE)</f>
        <v>#N/A</v>
      </c>
      <c r="AC120" s="76" t="e">
        <f>HLOOKUP(Roster!$E$7,Team!$BL$2:$MK$128,119,FALSE)</f>
        <v>#N/A</v>
      </c>
      <c r="AD120" s="76" t="e">
        <f>HLOOKUP(Roster!$E$8,Team!$BL$2:$MK$128,119,FALSE)</f>
        <v>#N/A</v>
      </c>
      <c r="AE120" s="76" t="e">
        <f>HLOOKUP(Roster!$E$9,Team!$BL$2:$MK$128,119,FALSE)</f>
        <v>#N/A</v>
      </c>
      <c r="AF120" s="76" t="e">
        <f>HLOOKUP(Roster!$E$10,Team!$BL$2:$MK$128,119,FALSE)</f>
        <v>#N/A</v>
      </c>
      <c r="AG120" s="76" t="e">
        <f>HLOOKUP(Roster!$E$11,Team!$BL$2:$MK$128,119,FALSE)</f>
        <v>#N/A</v>
      </c>
      <c r="AH120" s="76" t="e">
        <f>HLOOKUP(Roster!$E$12,Team!$BL$2:$MK$128,119,FALSE)</f>
        <v>#N/A</v>
      </c>
      <c r="AI120" s="76" t="e">
        <f>HLOOKUP(Roster!$E$13,Team!$BL$2:$MK$128,119,FALSE)</f>
        <v>#N/A</v>
      </c>
      <c r="AJ120" s="76" t="e">
        <f>HLOOKUP(Roster!$E$14,Team!$BL$2:$MK$128,119,FALSE)</f>
        <v>#N/A</v>
      </c>
      <c r="AK120" s="76" t="e">
        <f>HLOOKUP(Roster!$E$15,Team!$BL$2:$MK$128,119,FALSE)</f>
        <v>#N/A</v>
      </c>
      <c r="AL120" s="76" t="e">
        <f>HLOOKUP(Roster!$E$16,Team!$BL$2:$MK$128,119,FALSE)</f>
        <v>#N/A</v>
      </c>
      <c r="AM120" s="76" t="e">
        <f>HLOOKUP(Roster!$E$17,Team!$BL$2:$MK$128,119,FALSE)</f>
        <v>#N/A</v>
      </c>
      <c r="AN120" s="76" t="e">
        <f>HLOOKUP(Roster!$E$18,Team!$BL$2:$MK$128,119,FALSE)</f>
        <v>#N/A</v>
      </c>
      <c r="AO120" s="76" t="e">
        <f>HLOOKUP(Roster!$E$19,Team!$BL$2:$MK$128,119,FALSE)</f>
        <v>#N/A</v>
      </c>
      <c r="AP120" s="76" t="e">
        <f>HLOOKUP(Roster!$E$20,Team!$BL$2:$MK$128,119,FALSE)</f>
        <v>#N/A</v>
      </c>
      <c r="AR120" s="108">
        <f t="shared" si="17"/>
        <v>0</v>
      </c>
      <c r="AS120" s="108">
        <f t="shared" si="18"/>
        <v>0</v>
      </c>
      <c r="AT120" s="108">
        <f t="shared" si="19"/>
        <v>0</v>
      </c>
      <c r="AU120" s="108">
        <f t="shared" si="20"/>
        <v>0</v>
      </c>
      <c r="AV120" s="108">
        <f t="shared" si="21"/>
        <v>0</v>
      </c>
      <c r="AW120" s="108">
        <f t="shared" si="22"/>
        <v>0</v>
      </c>
      <c r="AX120" s="108">
        <f t="shared" si="23"/>
        <v>0</v>
      </c>
      <c r="AY120" s="108">
        <f t="shared" si="24"/>
        <v>0</v>
      </c>
      <c r="AZ120" s="108">
        <f t="shared" si="25"/>
        <v>0</v>
      </c>
      <c r="BA120" s="108">
        <f t="shared" si="26"/>
        <v>0</v>
      </c>
      <c r="BB120" s="108">
        <f t="shared" si="27"/>
        <v>0</v>
      </c>
      <c r="BC120" s="108">
        <f t="shared" si="28"/>
        <v>0</v>
      </c>
      <c r="BD120" s="108">
        <f t="shared" si="29"/>
        <v>0</v>
      </c>
      <c r="BE120" s="108">
        <f t="shared" si="30"/>
        <v>0</v>
      </c>
      <c r="BF120" s="108">
        <f t="shared" si="31"/>
        <v>0</v>
      </c>
      <c r="BG120" s="108">
        <f t="shared" si="32"/>
        <v>0</v>
      </c>
      <c r="BL120" s="76"/>
      <c r="BM120" s="76"/>
      <c r="BN120" s="76"/>
      <c r="BO120" s="76"/>
      <c r="BP120" s="76"/>
      <c r="BQ120" s="76"/>
      <c r="BR120" s="76"/>
      <c r="BS120" s="77"/>
      <c r="BT120" s="77"/>
      <c r="BW120" s="81" t="s">
        <v>355</v>
      </c>
      <c r="BX120" s="79"/>
      <c r="BY120" s="79"/>
      <c r="BZ120" s="79"/>
      <c r="CA120" s="79"/>
      <c r="CB120" s="81" t="s">
        <v>355</v>
      </c>
      <c r="CC120" s="77"/>
      <c r="CD120" s="77"/>
      <c r="CE120" s="79"/>
      <c r="CF120" s="77"/>
      <c r="CG120" s="79"/>
      <c r="CH120" s="77"/>
      <c r="CI120" s="77"/>
      <c r="CK120" s="81" t="s">
        <v>355</v>
      </c>
      <c r="CO120" s="81" t="s">
        <v>355</v>
      </c>
      <c r="CV120" s="76"/>
      <c r="CW120" s="76"/>
      <c r="CX120" s="76"/>
      <c r="CY120" s="76"/>
      <c r="CZ120" s="76"/>
      <c r="FH120" s="81" t="s">
        <v>355</v>
      </c>
      <c r="GI120" s="81" t="s">
        <v>355</v>
      </c>
      <c r="IC120" s="81" t="s">
        <v>355</v>
      </c>
      <c r="ID120" s="81" t="s">
        <v>355</v>
      </c>
      <c r="IE120" s="81" t="s">
        <v>355</v>
      </c>
      <c r="JF120" s="81" t="s">
        <v>355</v>
      </c>
      <c r="JG120" s="81" t="s">
        <v>355</v>
      </c>
      <c r="JH120" s="81" t="s">
        <v>355</v>
      </c>
      <c r="JI120" s="81" t="s">
        <v>355</v>
      </c>
    </row>
    <row r="121" spans="1:269" x14ac:dyDescent="0.15">
      <c r="A121" s="214" t="s">
        <v>154</v>
      </c>
      <c r="B121" s="6" t="s">
        <v>489</v>
      </c>
      <c r="C121" s="6">
        <v>65000</v>
      </c>
      <c r="D121" s="6">
        <v>1</v>
      </c>
      <c r="E121" s="6">
        <v>8</v>
      </c>
      <c r="F121" s="6">
        <v>2</v>
      </c>
      <c r="G121" s="6" t="s">
        <v>36</v>
      </c>
      <c r="H121" s="6" t="s">
        <v>40</v>
      </c>
      <c r="I121" s="6" t="s">
        <v>38</v>
      </c>
      <c r="J121" s="21" t="s">
        <v>157</v>
      </c>
      <c r="K121" s="21">
        <v>1</v>
      </c>
      <c r="L121" s="21">
        <v>1</v>
      </c>
      <c r="M121" s="21">
        <v>2</v>
      </c>
      <c r="N121" s="21">
        <v>0</v>
      </c>
      <c r="O121" s="21">
        <v>0</v>
      </c>
      <c r="P121" s="21" t="str">
        <f>IF(TeamT[[#This Row],[General]]+TeamT[[#This Row],[Agility]]+TeamT[[#This Row],[Strength]]+TeamT[[#This Row],[Passing]]+TeamT[[#This Row],[Mutation]]&gt;0,IF(TeamT[[#This Row],[General]]=1,"G","")&amp;IF(TeamT[[#This Row],[Agility]]=1,"A","")&amp;IF(TeamT[[#This Row],[Strength]]=1,"S","")&amp;IF(TeamT[[#This Row],[Passing]]=1,"P","")&amp;IF(TeamT[[#This Row],[Mutation]]=1,"M",""),"Star")</f>
        <v>GA</v>
      </c>
      <c r="Q121" s="21" t="str">
        <f>IF(TeamT[[#This Row],[General]]=2,"G","")&amp;IF(TeamT[[#This Row],[Agility]]=2,"A","")&amp;IF(TeamT[[#This Row],[Strength]]=2,"S","")&amp;IF(TeamT[[#This Row],[Passing]]=2,"P","")&amp;IF(TeamT[[#This Row],[Mutation]]=2,"M","")</f>
        <v>S</v>
      </c>
      <c r="R121" s="212"/>
      <c r="S121" s="21">
        <v>3</v>
      </c>
      <c r="T121" s="21">
        <v>5</v>
      </c>
      <c r="U121" s="21">
        <v>8</v>
      </c>
      <c r="AA121" s="76" t="e">
        <f>HLOOKUP(Roster!$E$5,Team!$BL$2:$MK$128,120,FALSE)</f>
        <v>#N/A</v>
      </c>
      <c r="AB121" s="76" t="e">
        <f>HLOOKUP(Roster!$E$6,Team!$BL$2:$MK$128,120,FALSE)</f>
        <v>#N/A</v>
      </c>
      <c r="AC121" s="76" t="e">
        <f>HLOOKUP(Roster!$E$7,Team!$BL$2:$MK$128,120,FALSE)</f>
        <v>#N/A</v>
      </c>
      <c r="AD121" s="76" t="e">
        <f>HLOOKUP(Roster!$E$8,Team!$BL$2:$MK$128,120,FALSE)</f>
        <v>#N/A</v>
      </c>
      <c r="AE121" s="76" t="e">
        <f>HLOOKUP(Roster!$E$9,Team!$BL$2:$MK$128,120,FALSE)</f>
        <v>#N/A</v>
      </c>
      <c r="AF121" s="76" t="e">
        <f>HLOOKUP(Roster!$E$10,Team!$BL$2:$MK$128,120,FALSE)</f>
        <v>#N/A</v>
      </c>
      <c r="AG121" s="76" t="e">
        <f>HLOOKUP(Roster!$E$11,Team!$BL$2:$MK$128,120,FALSE)</f>
        <v>#N/A</v>
      </c>
      <c r="AH121" s="76" t="e">
        <f>HLOOKUP(Roster!$E$12,Team!$BL$2:$MK$128,120,FALSE)</f>
        <v>#N/A</v>
      </c>
      <c r="AI121" s="76" t="e">
        <f>HLOOKUP(Roster!$E$13,Team!$BL$2:$MK$128,120,FALSE)</f>
        <v>#N/A</v>
      </c>
      <c r="AJ121" s="76" t="e">
        <f>HLOOKUP(Roster!$E$14,Team!$BL$2:$MK$128,120,FALSE)</f>
        <v>#N/A</v>
      </c>
      <c r="AK121" s="76" t="e">
        <f>HLOOKUP(Roster!$E$15,Team!$BL$2:$MK$128,120,FALSE)</f>
        <v>#N/A</v>
      </c>
      <c r="AL121" s="76" t="e">
        <f>HLOOKUP(Roster!$E$16,Team!$BL$2:$MK$128,120,FALSE)</f>
        <v>#N/A</v>
      </c>
      <c r="AM121" s="76" t="e">
        <f>HLOOKUP(Roster!$E$17,Team!$BL$2:$MK$128,120,FALSE)</f>
        <v>#N/A</v>
      </c>
      <c r="AN121" s="76" t="e">
        <f>HLOOKUP(Roster!$E$18,Team!$BL$2:$MK$128,120,FALSE)</f>
        <v>#N/A</v>
      </c>
      <c r="AO121" s="76" t="e">
        <f>HLOOKUP(Roster!$E$19,Team!$BL$2:$MK$128,120,FALSE)</f>
        <v>#N/A</v>
      </c>
      <c r="AP121" s="76" t="e">
        <f>HLOOKUP(Roster!$E$20,Team!$BL$2:$MK$128,120,FALSE)</f>
        <v>#N/A</v>
      </c>
      <c r="AR121" s="108">
        <f t="shared" si="17"/>
        <v>0</v>
      </c>
      <c r="AS121" s="108">
        <f t="shared" si="18"/>
        <v>0</v>
      </c>
      <c r="AT121" s="108">
        <f t="shared" si="19"/>
        <v>0</v>
      </c>
      <c r="AU121" s="108">
        <f t="shared" si="20"/>
        <v>0</v>
      </c>
      <c r="AV121" s="108">
        <f t="shared" si="21"/>
        <v>0</v>
      </c>
      <c r="AW121" s="108">
        <f t="shared" si="22"/>
        <v>0</v>
      </c>
      <c r="AX121" s="108">
        <f t="shared" si="23"/>
        <v>0</v>
      </c>
      <c r="AY121" s="108">
        <f t="shared" si="24"/>
        <v>0</v>
      </c>
      <c r="AZ121" s="108">
        <f t="shared" si="25"/>
        <v>0</v>
      </c>
      <c r="BA121" s="108">
        <f t="shared" si="26"/>
        <v>0</v>
      </c>
      <c r="BB121" s="108">
        <f t="shared" si="27"/>
        <v>0</v>
      </c>
      <c r="BC121" s="108">
        <f t="shared" si="28"/>
        <v>0</v>
      </c>
      <c r="BD121" s="108">
        <f t="shared" si="29"/>
        <v>0</v>
      </c>
      <c r="BE121" s="108">
        <f t="shared" si="30"/>
        <v>0</v>
      </c>
      <c r="BF121" s="108">
        <f t="shared" si="31"/>
        <v>0</v>
      </c>
      <c r="BG121" s="108">
        <f t="shared" si="32"/>
        <v>0</v>
      </c>
      <c r="BL121" s="76"/>
      <c r="BM121" s="76"/>
      <c r="BN121" s="76"/>
      <c r="BO121" s="76"/>
      <c r="BP121" s="76"/>
      <c r="BQ121" s="76"/>
      <c r="BR121" s="76"/>
      <c r="BS121" s="77"/>
      <c r="BT121" s="77"/>
      <c r="BW121" s="81" t="s">
        <v>356</v>
      </c>
      <c r="BX121" s="79"/>
      <c r="BY121" s="79"/>
      <c r="BZ121" s="79"/>
      <c r="CA121" s="79"/>
      <c r="CB121" s="81" t="s">
        <v>356</v>
      </c>
      <c r="CC121" s="77"/>
      <c r="CD121" s="77"/>
      <c r="CE121" s="77"/>
      <c r="CF121" s="77"/>
      <c r="CG121" s="77"/>
      <c r="CH121" s="77"/>
      <c r="CI121" s="77"/>
      <c r="CK121" s="81" t="s">
        <v>356</v>
      </c>
      <c r="CO121" s="81" t="s">
        <v>356</v>
      </c>
      <c r="CV121" s="76"/>
      <c r="CW121" s="76"/>
      <c r="CX121" s="76"/>
      <c r="CY121" s="76"/>
      <c r="CZ121" s="76"/>
      <c r="FH121" s="81" t="s">
        <v>356</v>
      </c>
      <c r="GI121" s="81" t="s">
        <v>356</v>
      </c>
      <c r="IC121" s="81" t="s">
        <v>356</v>
      </c>
      <c r="ID121" s="81" t="s">
        <v>356</v>
      </c>
      <c r="IE121" s="81" t="s">
        <v>356</v>
      </c>
      <c r="JF121" s="81" t="s">
        <v>356</v>
      </c>
      <c r="JG121" s="81" t="s">
        <v>356</v>
      </c>
      <c r="JH121" s="81" t="s">
        <v>356</v>
      </c>
      <c r="JI121" s="81" t="s">
        <v>356</v>
      </c>
    </row>
    <row r="122" spans="1:269" x14ac:dyDescent="0.15">
      <c r="A122" s="214" t="s">
        <v>155</v>
      </c>
      <c r="B122" s="6" t="s">
        <v>489</v>
      </c>
      <c r="C122" s="6">
        <v>90000</v>
      </c>
      <c r="D122" s="6">
        <v>1</v>
      </c>
      <c r="E122" s="6">
        <v>7</v>
      </c>
      <c r="F122" s="6">
        <v>3</v>
      </c>
      <c r="G122" s="6" t="s">
        <v>36</v>
      </c>
      <c r="H122" s="6" t="s">
        <v>37</v>
      </c>
      <c r="I122" s="6" t="s">
        <v>46</v>
      </c>
      <c r="J122" s="21" t="s">
        <v>158</v>
      </c>
      <c r="K122" s="21">
        <v>1</v>
      </c>
      <c r="L122" s="21">
        <v>2</v>
      </c>
      <c r="M122" s="21">
        <v>1</v>
      </c>
      <c r="N122" s="21">
        <v>0</v>
      </c>
      <c r="O122" s="21">
        <v>0</v>
      </c>
      <c r="P122" s="21" t="str">
        <f>IF(TeamT[[#This Row],[General]]+TeamT[[#This Row],[Agility]]+TeamT[[#This Row],[Strength]]+TeamT[[#This Row],[Passing]]+TeamT[[#This Row],[Mutation]]&gt;0,IF(TeamT[[#This Row],[General]]=1,"G","")&amp;IF(TeamT[[#This Row],[Agility]]=1,"A","")&amp;IF(TeamT[[#This Row],[Strength]]=1,"S","")&amp;IF(TeamT[[#This Row],[Passing]]=1,"P","")&amp;IF(TeamT[[#This Row],[Mutation]]=1,"M",""),"Star")</f>
        <v>GS</v>
      </c>
      <c r="Q122" s="21" t="str">
        <f>IF(TeamT[[#This Row],[General]]=2,"G","")&amp;IF(TeamT[[#This Row],[Agility]]=2,"A","")&amp;IF(TeamT[[#This Row],[Strength]]=2,"S","")&amp;IF(TeamT[[#This Row],[Passing]]=2,"P","")&amp;IF(TeamT[[#This Row],[Mutation]]=2,"M","")</f>
        <v>A</v>
      </c>
      <c r="R122" s="212"/>
      <c r="S122" s="21">
        <v>3</v>
      </c>
      <c r="T122" s="21">
        <v>4</v>
      </c>
      <c r="U122" s="21">
        <v>9</v>
      </c>
      <c r="AA122" s="76" t="e">
        <f>HLOOKUP(Roster!$E$5,Team!$BL$2:$MK$128,121,FALSE)</f>
        <v>#N/A</v>
      </c>
      <c r="AB122" s="76" t="e">
        <f>HLOOKUP(Roster!$E$6,Team!$BL$2:$MK$128,121,FALSE)</f>
        <v>#N/A</v>
      </c>
      <c r="AC122" s="76" t="e">
        <f>HLOOKUP(Roster!$E$7,Team!$BL$2:$MK$128,121,FALSE)</f>
        <v>#N/A</v>
      </c>
      <c r="AD122" s="76" t="e">
        <f>HLOOKUP(Roster!$E$8,Team!$BL$2:$MK$128,121,FALSE)</f>
        <v>#N/A</v>
      </c>
      <c r="AE122" s="76" t="e">
        <f>HLOOKUP(Roster!$E$9,Team!$BL$2:$MK$128,121,FALSE)</f>
        <v>#N/A</v>
      </c>
      <c r="AF122" s="76" t="e">
        <f>HLOOKUP(Roster!$E$10,Team!$BL$2:$MK$128,121,FALSE)</f>
        <v>#N/A</v>
      </c>
      <c r="AG122" s="76" t="e">
        <f>HLOOKUP(Roster!$E$11,Team!$BL$2:$MK$128,121,FALSE)</f>
        <v>#N/A</v>
      </c>
      <c r="AH122" s="76" t="e">
        <f>HLOOKUP(Roster!$E$12,Team!$BL$2:$MK$128,121,FALSE)</f>
        <v>#N/A</v>
      </c>
      <c r="AI122" s="76" t="e">
        <f>HLOOKUP(Roster!$E$13,Team!$BL$2:$MK$128,121,FALSE)</f>
        <v>#N/A</v>
      </c>
      <c r="AJ122" s="76" t="e">
        <f>HLOOKUP(Roster!$E$14,Team!$BL$2:$MK$128,121,FALSE)</f>
        <v>#N/A</v>
      </c>
      <c r="AK122" s="76" t="e">
        <f>HLOOKUP(Roster!$E$15,Team!$BL$2:$MK$128,121,FALSE)</f>
        <v>#N/A</v>
      </c>
      <c r="AL122" s="76" t="e">
        <f>HLOOKUP(Roster!$E$16,Team!$BL$2:$MK$128,121,FALSE)</f>
        <v>#N/A</v>
      </c>
      <c r="AM122" s="76" t="e">
        <f>HLOOKUP(Roster!$E$17,Team!$BL$2:$MK$128,121,FALSE)</f>
        <v>#N/A</v>
      </c>
      <c r="AN122" s="76" t="e">
        <f>HLOOKUP(Roster!$E$18,Team!$BL$2:$MK$128,121,FALSE)</f>
        <v>#N/A</v>
      </c>
      <c r="AO122" s="76" t="e">
        <f>HLOOKUP(Roster!$E$19,Team!$BL$2:$MK$128,121,FALSE)</f>
        <v>#N/A</v>
      </c>
      <c r="AP122" s="76" t="e">
        <f>HLOOKUP(Roster!$E$20,Team!$BL$2:$MK$128,121,FALSE)</f>
        <v>#N/A</v>
      </c>
      <c r="AR122" s="108">
        <f t="shared" si="17"/>
        <v>0</v>
      </c>
      <c r="AS122" s="108">
        <f t="shared" si="18"/>
        <v>0</v>
      </c>
      <c r="AT122" s="108">
        <f t="shared" si="19"/>
        <v>0</v>
      </c>
      <c r="AU122" s="108">
        <f t="shared" si="20"/>
        <v>0</v>
      </c>
      <c r="AV122" s="108">
        <f t="shared" si="21"/>
        <v>0</v>
      </c>
      <c r="AW122" s="108">
        <f t="shared" si="22"/>
        <v>0</v>
      </c>
      <c r="AX122" s="108">
        <f t="shared" si="23"/>
        <v>0</v>
      </c>
      <c r="AY122" s="108">
        <f t="shared" si="24"/>
        <v>0</v>
      </c>
      <c r="AZ122" s="108">
        <f t="shared" si="25"/>
        <v>0</v>
      </c>
      <c r="BA122" s="108">
        <f t="shared" si="26"/>
        <v>0</v>
      </c>
      <c r="BB122" s="108">
        <f t="shared" si="27"/>
        <v>0</v>
      </c>
      <c r="BC122" s="108">
        <f t="shared" si="28"/>
        <v>0</v>
      </c>
      <c r="BD122" s="108">
        <f t="shared" si="29"/>
        <v>0</v>
      </c>
      <c r="BE122" s="108">
        <f t="shared" si="30"/>
        <v>0</v>
      </c>
      <c r="BF122" s="108">
        <f t="shared" si="31"/>
        <v>0</v>
      </c>
      <c r="BG122" s="108">
        <f t="shared" si="32"/>
        <v>0</v>
      </c>
      <c r="BL122" s="76"/>
      <c r="BM122" s="76"/>
      <c r="BN122" s="76"/>
      <c r="BO122" s="76"/>
      <c r="BP122" s="76"/>
      <c r="BQ122" s="76"/>
      <c r="BR122" s="76"/>
      <c r="BS122" s="77"/>
      <c r="BT122" s="77"/>
      <c r="BW122" s="81" t="s">
        <v>357</v>
      </c>
      <c r="BX122" s="79"/>
      <c r="BY122" s="79"/>
      <c r="BZ122" s="79"/>
      <c r="CA122" s="79"/>
      <c r="CB122" s="81" t="s">
        <v>357</v>
      </c>
      <c r="CC122" s="77"/>
      <c r="CD122" s="77"/>
      <c r="CE122" s="77"/>
      <c r="CF122" s="77"/>
      <c r="CG122" s="77"/>
      <c r="CH122" s="77"/>
      <c r="CI122" s="77"/>
      <c r="CK122" s="81" t="s">
        <v>357</v>
      </c>
      <c r="CO122" s="81" t="s">
        <v>357</v>
      </c>
      <c r="CV122" s="76"/>
      <c r="CW122" s="76"/>
      <c r="CX122" s="76"/>
      <c r="CY122" s="76"/>
      <c r="CZ122" s="76"/>
      <c r="FH122" s="81" t="s">
        <v>357</v>
      </c>
      <c r="GI122" s="81" t="s">
        <v>357</v>
      </c>
      <c r="IC122" s="81" t="s">
        <v>357</v>
      </c>
      <c r="ID122" s="81" t="s">
        <v>357</v>
      </c>
      <c r="IE122" s="81" t="s">
        <v>357</v>
      </c>
      <c r="JF122" s="81" t="s">
        <v>357</v>
      </c>
      <c r="JG122" s="81" t="s">
        <v>357</v>
      </c>
      <c r="JH122" s="81" t="s">
        <v>357</v>
      </c>
      <c r="JI122" s="81" t="s">
        <v>357</v>
      </c>
    </row>
    <row r="123" spans="1:269" x14ac:dyDescent="0.15">
      <c r="A123" s="214" t="s">
        <v>159</v>
      </c>
      <c r="B123" s="6" t="s">
        <v>489</v>
      </c>
      <c r="C123" s="6">
        <v>75000</v>
      </c>
      <c r="D123" s="6">
        <v>2</v>
      </c>
      <c r="E123" s="6">
        <v>4</v>
      </c>
      <c r="F123" s="6">
        <v>3</v>
      </c>
      <c r="G123" s="6" t="s">
        <v>37</v>
      </c>
      <c r="H123" s="6" t="s">
        <v>40</v>
      </c>
      <c r="I123" s="6" t="s">
        <v>41</v>
      </c>
      <c r="J123" s="21" t="s">
        <v>165</v>
      </c>
      <c r="K123" s="21">
        <v>1</v>
      </c>
      <c r="L123" s="21">
        <v>2</v>
      </c>
      <c r="M123" s="21">
        <v>1</v>
      </c>
      <c r="N123" s="21">
        <v>0</v>
      </c>
      <c r="O123" s="21">
        <v>0</v>
      </c>
      <c r="P123" s="21" t="str">
        <f>IF(TeamT[[#This Row],[General]]+TeamT[[#This Row],[Agility]]+TeamT[[#This Row],[Strength]]+TeamT[[#This Row],[Passing]]+TeamT[[#This Row],[Mutation]]&gt;0,IF(TeamT[[#This Row],[General]]=1,"G","")&amp;IF(TeamT[[#This Row],[Agility]]=1,"A","")&amp;IF(TeamT[[#This Row],[Strength]]=1,"S","")&amp;IF(TeamT[[#This Row],[Passing]]=1,"P","")&amp;IF(TeamT[[#This Row],[Mutation]]=1,"M",""),"Star")</f>
        <v>GS</v>
      </c>
      <c r="Q123" s="21" t="str">
        <f>IF(TeamT[[#This Row],[General]]=2,"G","")&amp;IF(TeamT[[#This Row],[Agility]]=2,"A","")&amp;IF(TeamT[[#This Row],[Strength]]=2,"S","")&amp;IF(TeamT[[#This Row],[Passing]]=2,"P","")&amp;IF(TeamT[[#This Row],[Mutation]]=2,"M","")</f>
        <v>A</v>
      </c>
      <c r="R123" s="212"/>
      <c r="S123" s="21">
        <v>4</v>
      </c>
      <c r="T123" s="21">
        <v>5</v>
      </c>
      <c r="U123" s="21">
        <v>10</v>
      </c>
      <c r="AA123" s="76" t="e">
        <f>HLOOKUP(Roster!$E$5,Team!$BL$2:$MK$128,122,FALSE)</f>
        <v>#N/A</v>
      </c>
      <c r="AB123" s="76" t="e">
        <f>HLOOKUP(Roster!$E$6,Team!$BL$2:$MK$128,122,FALSE)</f>
        <v>#N/A</v>
      </c>
      <c r="AC123" s="76" t="e">
        <f>HLOOKUP(Roster!$E$7,Team!$BL$2:$MK$128,122,FALSE)</f>
        <v>#N/A</v>
      </c>
      <c r="AD123" s="76" t="e">
        <f>HLOOKUP(Roster!$E$8,Team!$BL$2:$MK$128,122,FALSE)</f>
        <v>#N/A</v>
      </c>
      <c r="AE123" s="76" t="e">
        <f>HLOOKUP(Roster!$E$9,Team!$BL$2:$MK$128,122,FALSE)</f>
        <v>#N/A</v>
      </c>
      <c r="AF123" s="76" t="e">
        <f>HLOOKUP(Roster!$E$10,Team!$BL$2:$MK$128,122,FALSE)</f>
        <v>#N/A</v>
      </c>
      <c r="AG123" s="76" t="e">
        <f>HLOOKUP(Roster!$E$11,Team!$BL$2:$MK$128,122,FALSE)</f>
        <v>#N/A</v>
      </c>
      <c r="AH123" s="76" t="e">
        <f>HLOOKUP(Roster!$E$12,Team!$BL$2:$MK$128,122,FALSE)</f>
        <v>#N/A</v>
      </c>
      <c r="AI123" s="76" t="e">
        <f>HLOOKUP(Roster!$E$13,Team!$BL$2:$MK$128,122,FALSE)</f>
        <v>#N/A</v>
      </c>
      <c r="AJ123" s="76" t="e">
        <f>HLOOKUP(Roster!$E$14,Team!$BL$2:$MK$128,122,FALSE)</f>
        <v>#N/A</v>
      </c>
      <c r="AK123" s="76" t="e">
        <f>HLOOKUP(Roster!$E$15,Team!$BL$2:$MK$128,122,FALSE)</f>
        <v>#N/A</v>
      </c>
      <c r="AL123" s="76" t="e">
        <f>HLOOKUP(Roster!$E$16,Team!$BL$2:$MK$128,122,FALSE)</f>
        <v>#N/A</v>
      </c>
      <c r="AM123" s="76" t="e">
        <f>HLOOKUP(Roster!$E$17,Team!$BL$2:$MK$128,122,FALSE)</f>
        <v>#N/A</v>
      </c>
      <c r="AN123" s="76" t="e">
        <f>HLOOKUP(Roster!$E$18,Team!$BL$2:$MK$128,122,FALSE)</f>
        <v>#N/A</v>
      </c>
      <c r="AO123" s="76" t="e">
        <f>HLOOKUP(Roster!$E$19,Team!$BL$2:$MK$128,122,FALSE)</f>
        <v>#N/A</v>
      </c>
      <c r="AP123" s="76" t="e">
        <f>HLOOKUP(Roster!$E$20,Team!$BL$2:$MK$128,122,FALSE)</f>
        <v>#N/A</v>
      </c>
      <c r="AR123" s="108">
        <f t="shared" si="17"/>
        <v>0</v>
      </c>
      <c r="AS123" s="108">
        <f t="shared" si="18"/>
        <v>0</v>
      </c>
      <c r="AT123" s="108">
        <f t="shared" si="19"/>
        <v>0</v>
      </c>
      <c r="AU123" s="108">
        <f t="shared" si="20"/>
        <v>0</v>
      </c>
      <c r="AV123" s="108">
        <f t="shared" si="21"/>
        <v>0</v>
      </c>
      <c r="AW123" s="108">
        <f t="shared" si="22"/>
        <v>0</v>
      </c>
      <c r="AX123" s="108">
        <f t="shared" si="23"/>
        <v>0</v>
      </c>
      <c r="AY123" s="108">
        <f t="shared" si="24"/>
        <v>0</v>
      </c>
      <c r="AZ123" s="108">
        <f t="shared" si="25"/>
        <v>0</v>
      </c>
      <c r="BA123" s="108">
        <f t="shared" si="26"/>
        <v>0</v>
      </c>
      <c r="BB123" s="108">
        <f t="shared" si="27"/>
        <v>0</v>
      </c>
      <c r="BC123" s="108">
        <f t="shared" si="28"/>
        <v>0</v>
      </c>
      <c r="BD123" s="108">
        <f t="shared" si="29"/>
        <v>0</v>
      </c>
      <c r="BE123" s="108">
        <f t="shared" si="30"/>
        <v>0</v>
      </c>
      <c r="BF123" s="108">
        <f t="shared" si="31"/>
        <v>0</v>
      </c>
      <c r="BG123" s="108">
        <f t="shared" si="32"/>
        <v>0</v>
      </c>
      <c r="BL123" s="76"/>
      <c r="BM123" s="76"/>
      <c r="BN123" s="76"/>
      <c r="BO123" s="76"/>
      <c r="BP123" s="76"/>
      <c r="BQ123" s="76"/>
      <c r="BR123" s="76"/>
      <c r="BS123" s="77"/>
      <c r="BT123" s="77"/>
      <c r="BW123" s="81" t="s">
        <v>358</v>
      </c>
      <c r="BX123" s="79"/>
      <c r="BY123" s="79"/>
      <c r="BZ123" s="79"/>
      <c r="CA123" s="79"/>
      <c r="CB123" s="81" t="s">
        <v>358</v>
      </c>
      <c r="CC123" s="77"/>
      <c r="CD123" s="77"/>
      <c r="CE123" s="77"/>
      <c r="CF123" s="77"/>
      <c r="CG123" s="77"/>
      <c r="CH123" s="77"/>
      <c r="CI123" s="77"/>
      <c r="CK123" s="81" t="s">
        <v>358</v>
      </c>
      <c r="CO123" s="81" t="s">
        <v>358</v>
      </c>
      <c r="CV123" s="76"/>
      <c r="CW123" s="76"/>
      <c r="CX123" s="76"/>
      <c r="CY123" s="76"/>
      <c r="CZ123" s="76"/>
      <c r="FH123" s="81" t="s">
        <v>358</v>
      </c>
      <c r="GI123" s="81" t="s">
        <v>358</v>
      </c>
      <c r="IC123" s="81" t="s">
        <v>358</v>
      </c>
      <c r="ID123" s="81" t="s">
        <v>358</v>
      </c>
      <c r="IE123" s="81" t="s">
        <v>358</v>
      </c>
      <c r="JF123" s="81" t="s">
        <v>358</v>
      </c>
      <c r="JG123" s="81" t="s">
        <v>358</v>
      </c>
      <c r="JH123" s="81" t="s">
        <v>358</v>
      </c>
      <c r="JI123" s="81" t="s">
        <v>358</v>
      </c>
    </row>
    <row r="124" spans="1:269" x14ac:dyDescent="0.15">
      <c r="A124" s="214" t="s">
        <v>160</v>
      </c>
      <c r="B124" s="6" t="s">
        <v>489</v>
      </c>
      <c r="C124" s="6">
        <v>85000</v>
      </c>
      <c r="D124" s="6">
        <v>1</v>
      </c>
      <c r="E124" s="6">
        <v>6</v>
      </c>
      <c r="F124" s="6">
        <v>3</v>
      </c>
      <c r="G124" s="6" t="s">
        <v>36</v>
      </c>
      <c r="H124" s="6" t="s">
        <v>37</v>
      </c>
      <c r="I124" s="6" t="s">
        <v>46</v>
      </c>
      <c r="J124" s="21" t="s">
        <v>166</v>
      </c>
      <c r="K124" s="21">
        <v>1</v>
      </c>
      <c r="L124" s="21">
        <v>2</v>
      </c>
      <c r="M124" s="21">
        <v>2</v>
      </c>
      <c r="N124" s="21">
        <v>1</v>
      </c>
      <c r="O124" s="21">
        <v>0</v>
      </c>
      <c r="P124" s="21" t="str">
        <f>IF(TeamT[[#This Row],[General]]+TeamT[[#This Row],[Agility]]+TeamT[[#This Row],[Strength]]+TeamT[[#This Row],[Passing]]+TeamT[[#This Row],[Mutation]]&gt;0,IF(TeamT[[#This Row],[General]]=1,"G","")&amp;IF(TeamT[[#This Row],[Agility]]=1,"A","")&amp;IF(TeamT[[#This Row],[Strength]]=1,"S","")&amp;IF(TeamT[[#This Row],[Passing]]=1,"P","")&amp;IF(TeamT[[#This Row],[Mutation]]=1,"M",""),"Star")</f>
        <v>GP</v>
      </c>
      <c r="Q124" s="21" t="str">
        <f>IF(TeamT[[#This Row],[General]]=2,"G","")&amp;IF(TeamT[[#This Row],[Agility]]=2,"A","")&amp;IF(TeamT[[#This Row],[Strength]]=2,"S","")&amp;IF(TeamT[[#This Row],[Passing]]=2,"P","")&amp;IF(TeamT[[#This Row],[Mutation]]=2,"M","")</f>
        <v>AS</v>
      </c>
      <c r="R124" s="212"/>
      <c r="S124" s="21">
        <v>3</v>
      </c>
      <c r="T124" s="21">
        <v>4</v>
      </c>
      <c r="U124" s="21">
        <v>9</v>
      </c>
      <c r="AA124" s="76" t="e">
        <f>HLOOKUP(Roster!$E$5,Team!$BL$2:$MK$128,123,FALSE)</f>
        <v>#N/A</v>
      </c>
      <c r="AB124" s="76" t="e">
        <f>HLOOKUP(Roster!$E$6,Team!$BL$2:$MK$128,123,FALSE)</f>
        <v>#N/A</v>
      </c>
      <c r="AC124" s="76" t="e">
        <f>HLOOKUP(Roster!$E$7,Team!$BL$2:$MK$128,123,FALSE)</f>
        <v>#N/A</v>
      </c>
      <c r="AD124" s="76" t="e">
        <f>HLOOKUP(Roster!$E$8,Team!$BL$2:$MK$128,123,FALSE)</f>
        <v>#N/A</v>
      </c>
      <c r="AE124" s="76" t="e">
        <f>HLOOKUP(Roster!$E$9,Team!$BL$2:$MK$128,123,FALSE)</f>
        <v>#N/A</v>
      </c>
      <c r="AF124" s="76" t="e">
        <f>HLOOKUP(Roster!$E$10,Team!$BL$2:$MK$128,123,FALSE)</f>
        <v>#N/A</v>
      </c>
      <c r="AG124" s="76" t="e">
        <f>HLOOKUP(Roster!$E$11,Team!$BL$2:$MK$128,123,FALSE)</f>
        <v>#N/A</v>
      </c>
      <c r="AH124" s="76" t="e">
        <f>HLOOKUP(Roster!$E$12,Team!$BL$2:$MK$128,123,FALSE)</f>
        <v>#N/A</v>
      </c>
      <c r="AI124" s="76" t="e">
        <f>HLOOKUP(Roster!$E$13,Team!$BL$2:$MK$128,123,FALSE)</f>
        <v>#N/A</v>
      </c>
      <c r="AJ124" s="76" t="e">
        <f>HLOOKUP(Roster!$E$14,Team!$BL$2:$MK$128,123,FALSE)</f>
        <v>#N/A</v>
      </c>
      <c r="AK124" s="76" t="e">
        <f>HLOOKUP(Roster!$E$15,Team!$BL$2:$MK$128,123,FALSE)</f>
        <v>#N/A</v>
      </c>
      <c r="AL124" s="76" t="e">
        <f>HLOOKUP(Roster!$E$16,Team!$BL$2:$MK$128,123,FALSE)</f>
        <v>#N/A</v>
      </c>
      <c r="AM124" s="76" t="e">
        <f>HLOOKUP(Roster!$E$17,Team!$BL$2:$MK$128,123,FALSE)</f>
        <v>#N/A</v>
      </c>
      <c r="AN124" s="76" t="e">
        <f>HLOOKUP(Roster!$E$18,Team!$BL$2:$MK$128,123,FALSE)</f>
        <v>#N/A</v>
      </c>
      <c r="AO124" s="76" t="e">
        <f>HLOOKUP(Roster!$E$19,Team!$BL$2:$MK$128,123,FALSE)</f>
        <v>#N/A</v>
      </c>
      <c r="AP124" s="76" t="e">
        <f>HLOOKUP(Roster!$E$20,Team!$BL$2:$MK$128,123,FALSE)</f>
        <v>#N/A</v>
      </c>
      <c r="AR124" s="108">
        <f t="shared" si="17"/>
        <v>0</v>
      </c>
      <c r="AS124" s="108">
        <f t="shared" si="18"/>
        <v>0</v>
      </c>
      <c r="AT124" s="108">
        <f t="shared" si="19"/>
        <v>0</v>
      </c>
      <c r="AU124" s="108">
        <f t="shared" si="20"/>
        <v>0</v>
      </c>
      <c r="AV124" s="108">
        <f t="shared" si="21"/>
        <v>0</v>
      </c>
      <c r="AW124" s="108">
        <f t="shared" si="22"/>
        <v>0</v>
      </c>
      <c r="AX124" s="108">
        <f t="shared" si="23"/>
        <v>0</v>
      </c>
      <c r="AY124" s="108">
        <f t="shared" si="24"/>
        <v>0</v>
      </c>
      <c r="AZ124" s="108">
        <f t="shared" si="25"/>
        <v>0</v>
      </c>
      <c r="BA124" s="108">
        <f t="shared" si="26"/>
        <v>0</v>
      </c>
      <c r="BB124" s="108">
        <f t="shared" si="27"/>
        <v>0</v>
      </c>
      <c r="BC124" s="108">
        <f t="shared" si="28"/>
        <v>0</v>
      </c>
      <c r="BD124" s="108">
        <f t="shared" si="29"/>
        <v>0</v>
      </c>
      <c r="BE124" s="108">
        <f t="shared" si="30"/>
        <v>0</v>
      </c>
      <c r="BF124" s="108">
        <f t="shared" si="31"/>
        <v>0</v>
      </c>
      <c r="BG124" s="108">
        <f t="shared" si="32"/>
        <v>0</v>
      </c>
      <c r="BL124" s="76"/>
      <c r="BM124" s="76"/>
      <c r="BN124" s="76"/>
      <c r="BO124" s="76"/>
      <c r="BP124" s="76"/>
      <c r="BQ124" s="76"/>
      <c r="BR124" s="76"/>
      <c r="BS124" s="77"/>
      <c r="BT124" s="77"/>
      <c r="BW124" s="80" t="s">
        <v>359</v>
      </c>
      <c r="BX124" s="79"/>
      <c r="BY124" s="79"/>
      <c r="BZ124" s="79"/>
      <c r="CA124" s="79"/>
      <c r="CB124" s="80" t="s">
        <v>359</v>
      </c>
      <c r="CC124" s="77"/>
      <c r="CD124" s="77"/>
      <c r="CE124" s="77"/>
      <c r="CF124" s="77"/>
      <c r="CG124" s="77"/>
      <c r="CH124" s="77"/>
      <c r="CI124" s="77"/>
      <c r="CK124" s="80" t="s">
        <v>359</v>
      </c>
      <c r="CO124" s="80" t="s">
        <v>359</v>
      </c>
      <c r="FH124" s="80" t="s">
        <v>359</v>
      </c>
      <c r="GI124" s="80" t="s">
        <v>359</v>
      </c>
      <c r="IC124" s="80" t="s">
        <v>359</v>
      </c>
      <c r="ID124" s="80" t="s">
        <v>359</v>
      </c>
      <c r="IE124" s="80" t="s">
        <v>359</v>
      </c>
      <c r="JF124" s="80" t="s">
        <v>359</v>
      </c>
      <c r="JG124" s="80" t="s">
        <v>359</v>
      </c>
      <c r="JH124" s="80" t="s">
        <v>359</v>
      </c>
      <c r="JI124" s="80" t="s">
        <v>359</v>
      </c>
    </row>
    <row r="125" spans="1:269" x14ac:dyDescent="0.15">
      <c r="A125" s="214" t="s">
        <v>161</v>
      </c>
      <c r="B125" s="6" t="s">
        <v>489</v>
      </c>
      <c r="C125" s="6">
        <v>80000</v>
      </c>
      <c r="D125" s="6">
        <v>1</v>
      </c>
      <c r="E125" s="6">
        <v>5</v>
      </c>
      <c r="F125" s="6">
        <v>3</v>
      </c>
      <c r="G125" s="6" t="s">
        <v>36</v>
      </c>
      <c r="H125" s="6" t="s">
        <v>37</v>
      </c>
      <c r="I125" s="6" t="s">
        <v>41</v>
      </c>
      <c r="J125" s="21" t="s">
        <v>710</v>
      </c>
      <c r="K125" s="21">
        <v>1</v>
      </c>
      <c r="L125" s="21">
        <v>2</v>
      </c>
      <c r="M125" s="21">
        <v>1</v>
      </c>
      <c r="N125" s="21">
        <v>0</v>
      </c>
      <c r="O125" s="21">
        <v>0</v>
      </c>
      <c r="P125" s="21" t="str">
        <f>IF(TeamT[[#This Row],[General]]+TeamT[[#This Row],[Agility]]+TeamT[[#This Row],[Strength]]+TeamT[[#This Row],[Passing]]+TeamT[[#This Row],[Mutation]]&gt;0,IF(TeamT[[#This Row],[General]]=1,"G","")&amp;IF(TeamT[[#This Row],[Agility]]=1,"A","")&amp;IF(TeamT[[#This Row],[Strength]]=1,"S","")&amp;IF(TeamT[[#This Row],[Passing]]=1,"P","")&amp;IF(TeamT[[#This Row],[Mutation]]=1,"M",""),"Star")</f>
        <v>GS</v>
      </c>
      <c r="Q125" s="21" t="str">
        <f>IF(TeamT[[#This Row],[General]]=2,"G","")&amp;IF(TeamT[[#This Row],[Agility]]=2,"A","")&amp;IF(TeamT[[#This Row],[Strength]]=2,"S","")&amp;IF(TeamT[[#This Row],[Passing]]=2,"P","")&amp;IF(TeamT[[#This Row],[Mutation]]=2,"M","")</f>
        <v>A</v>
      </c>
      <c r="R125" s="212"/>
      <c r="S125" s="21">
        <v>3</v>
      </c>
      <c r="T125" s="21">
        <v>4</v>
      </c>
      <c r="U125" s="21">
        <v>10</v>
      </c>
      <c r="AA125" s="76" t="e">
        <f>HLOOKUP(Roster!$E$5,Team!$BL$2:$MK$128,124,FALSE)</f>
        <v>#N/A</v>
      </c>
      <c r="AB125" s="76" t="e">
        <f>HLOOKUP(Roster!$E$6,Team!$BL$2:$MK$128,124,FALSE)</f>
        <v>#N/A</v>
      </c>
      <c r="AC125" s="76" t="e">
        <f>HLOOKUP(Roster!$E$7,Team!$BL$2:$MK$128,124,FALSE)</f>
        <v>#N/A</v>
      </c>
      <c r="AD125" s="76" t="e">
        <f>HLOOKUP(Roster!$E$8,Team!$BL$2:$MK$128,124,FALSE)</f>
        <v>#N/A</v>
      </c>
      <c r="AE125" s="76" t="e">
        <f>HLOOKUP(Roster!$E$9,Team!$BL$2:$MK$128,124,FALSE)</f>
        <v>#N/A</v>
      </c>
      <c r="AF125" s="76" t="e">
        <f>HLOOKUP(Roster!$E$10,Team!$BL$2:$MK$128,124,FALSE)</f>
        <v>#N/A</v>
      </c>
      <c r="AG125" s="76" t="e">
        <f>HLOOKUP(Roster!$E$11,Team!$BL$2:$MK$128,124,FALSE)</f>
        <v>#N/A</v>
      </c>
      <c r="AH125" s="76" t="e">
        <f>HLOOKUP(Roster!$E$12,Team!$BL$2:$MK$128,124,FALSE)</f>
        <v>#N/A</v>
      </c>
      <c r="AI125" s="76" t="e">
        <f>HLOOKUP(Roster!$E$13,Team!$BL$2:$MK$128,124,FALSE)</f>
        <v>#N/A</v>
      </c>
      <c r="AJ125" s="76" t="e">
        <f>HLOOKUP(Roster!$E$14,Team!$BL$2:$MK$128,124,FALSE)</f>
        <v>#N/A</v>
      </c>
      <c r="AK125" s="76" t="e">
        <f>HLOOKUP(Roster!$E$15,Team!$BL$2:$MK$128,124,FALSE)</f>
        <v>#N/A</v>
      </c>
      <c r="AL125" s="76" t="e">
        <f>HLOOKUP(Roster!$E$16,Team!$BL$2:$MK$128,124,FALSE)</f>
        <v>#N/A</v>
      </c>
      <c r="AM125" s="76" t="e">
        <f>HLOOKUP(Roster!$E$17,Team!$BL$2:$MK$128,124,FALSE)</f>
        <v>#N/A</v>
      </c>
      <c r="AN125" s="76" t="e">
        <f>HLOOKUP(Roster!$E$18,Team!$BL$2:$MK$128,124,FALSE)</f>
        <v>#N/A</v>
      </c>
      <c r="AO125" s="76" t="e">
        <f>HLOOKUP(Roster!$E$19,Team!$BL$2:$MK$128,124,FALSE)</f>
        <v>#N/A</v>
      </c>
      <c r="AP125" s="76" t="e">
        <f>HLOOKUP(Roster!$E$20,Team!$BL$2:$MK$128,124,FALSE)</f>
        <v>#N/A</v>
      </c>
      <c r="AR125" s="108">
        <f t="shared" si="17"/>
        <v>0</v>
      </c>
      <c r="AS125" s="108">
        <f t="shared" si="18"/>
        <v>0</v>
      </c>
      <c r="AT125" s="108">
        <f t="shared" si="19"/>
        <v>0</v>
      </c>
      <c r="AU125" s="108">
        <f t="shared" si="20"/>
        <v>0</v>
      </c>
      <c r="AV125" s="108">
        <f t="shared" si="21"/>
        <v>0</v>
      </c>
      <c r="AW125" s="108">
        <f t="shared" si="22"/>
        <v>0</v>
      </c>
      <c r="AX125" s="108">
        <f t="shared" si="23"/>
        <v>0</v>
      </c>
      <c r="AY125" s="108">
        <f t="shared" si="24"/>
        <v>0</v>
      </c>
      <c r="AZ125" s="108">
        <f t="shared" si="25"/>
        <v>0</v>
      </c>
      <c r="BA125" s="108">
        <f t="shared" si="26"/>
        <v>0</v>
      </c>
      <c r="BB125" s="108">
        <f t="shared" si="27"/>
        <v>0</v>
      </c>
      <c r="BC125" s="108">
        <f t="shared" si="28"/>
        <v>0</v>
      </c>
      <c r="BD125" s="108">
        <f t="shared" si="29"/>
        <v>0</v>
      </c>
      <c r="BE125" s="108">
        <f t="shared" si="30"/>
        <v>0</v>
      </c>
      <c r="BF125" s="108">
        <f t="shared" si="31"/>
        <v>0</v>
      </c>
      <c r="BG125" s="108">
        <f t="shared" si="32"/>
        <v>0</v>
      </c>
      <c r="BL125" s="76"/>
      <c r="BM125" s="76"/>
      <c r="BN125" s="76"/>
      <c r="BO125" s="76"/>
      <c r="BP125" s="76"/>
      <c r="BQ125" s="76"/>
      <c r="BR125" s="76"/>
      <c r="BS125" s="77"/>
      <c r="BT125" s="77"/>
      <c r="BW125" s="81" t="s">
        <v>360</v>
      </c>
      <c r="BX125" s="79"/>
      <c r="BY125" s="79"/>
      <c r="BZ125" s="79"/>
      <c r="CA125" s="79"/>
      <c r="CB125" s="81" t="s">
        <v>360</v>
      </c>
      <c r="CC125" s="77"/>
      <c r="CD125" s="77"/>
      <c r="CE125" s="77"/>
      <c r="CF125" s="77"/>
      <c r="CG125" s="77"/>
      <c r="CH125" s="77"/>
      <c r="CI125" s="77"/>
      <c r="CK125" s="81" t="s">
        <v>360</v>
      </c>
      <c r="CO125" s="81" t="s">
        <v>360</v>
      </c>
      <c r="FH125" s="81" t="s">
        <v>360</v>
      </c>
      <c r="GI125" s="81" t="s">
        <v>360</v>
      </c>
      <c r="IC125" s="81" t="s">
        <v>360</v>
      </c>
      <c r="ID125" s="81" t="s">
        <v>360</v>
      </c>
      <c r="IE125" s="81" t="s">
        <v>360</v>
      </c>
      <c r="JF125" s="81" t="s">
        <v>360</v>
      </c>
      <c r="JG125" s="81" t="s">
        <v>360</v>
      </c>
      <c r="JH125" s="81" t="s">
        <v>360</v>
      </c>
      <c r="JI125" s="81" t="s">
        <v>360</v>
      </c>
    </row>
    <row r="126" spans="1:269" x14ac:dyDescent="0.15">
      <c r="A126" s="214" t="s">
        <v>162</v>
      </c>
      <c r="B126" s="6" t="s">
        <v>489</v>
      </c>
      <c r="C126" s="6">
        <v>95000</v>
      </c>
      <c r="D126" s="6">
        <v>1</v>
      </c>
      <c r="E126" s="6">
        <v>5</v>
      </c>
      <c r="F126" s="6">
        <v>3</v>
      </c>
      <c r="G126" s="6" t="s">
        <v>37</v>
      </c>
      <c r="H126" s="6" t="s">
        <v>53</v>
      </c>
      <c r="I126" s="6" t="s">
        <v>46</v>
      </c>
      <c r="J126" s="21" t="s">
        <v>167</v>
      </c>
      <c r="K126" s="21">
        <v>1</v>
      </c>
      <c r="L126" s="21">
        <v>2</v>
      </c>
      <c r="M126" s="21">
        <v>1</v>
      </c>
      <c r="N126" s="21">
        <v>0</v>
      </c>
      <c r="O126" s="21">
        <v>0</v>
      </c>
      <c r="P126" s="21" t="str">
        <f>IF(TeamT[[#This Row],[General]]+TeamT[[#This Row],[Agility]]+TeamT[[#This Row],[Strength]]+TeamT[[#This Row],[Passing]]+TeamT[[#This Row],[Mutation]]&gt;0,IF(TeamT[[#This Row],[General]]=1,"G","")&amp;IF(TeamT[[#This Row],[Agility]]=1,"A","")&amp;IF(TeamT[[#This Row],[Strength]]=1,"S","")&amp;IF(TeamT[[#This Row],[Passing]]=1,"P","")&amp;IF(TeamT[[#This Row],[Mutation]]=1,"M",""),"Star")</f>
        <v>GS</v>
      </c>
      <c r="Q126" s="21" t="str">
        <f>IF(TeamT[[#This Row],[General]]=2,"G","")&amp;IF(TeamT[[#This Row],[Agility]]=2,"A","")&amp;IF(TeamT[[#This Row],[Strength]]=2,"S","")&amp;IF(TeamT[[#This Row],[Passing]]=2,"P","")&amp;IF(TeamT[[#This Row],[Mutation]]=2,"M","")</f>
        <v>A</v>
      </c>
      <c r="R126" s="212"/>
      <c r="S126" s="21">
        <v>4</v>
      </c>
      <c r="T126" s="21" t="s">
        <v>53</v>
      </c>
      <c r="U126" s="21">
        <v>9</v>
      </c>
      <c r="AA126" s="76" t="e">
        <f>HLOOKUP(Roster!$E$5,Team!$BL$2:$MK$128,125,FALSE)</f>
        <v>#N/A</v>
      </c>
      <c r="AB126" s="76" t="e">
        <f>HLOOKUP(Roster!$E$6,Team!$BL$2:$MK$128,125,FALSE)</f>
        <v>#N/A</v>
      </c>
      <c r="AC126" s="76" t="e">
        <f>HLOOKUP(Roster!$E$7,Team!$BL$2:$MK$128,125,FALSE)</f>
        <v>#N/A</v>
      </c>
      <c r="AD126" s="76" t="e">
        <f>HLOOKUP(Roster!$E$8,Team!$BL$2:$MK$128,125,FALSE)</f>
        <v>#N/A</v>
      </c>
      <c r="AE126" s="76" t="e">
        <f>HLOOKUP(Roster!$E$9,Team!$BL$2:$MK$128,125,FALSE)</f>
        <v>#N/A</v>
      </c>
      <c r="AF126" s="76" t="e">
        <f>HLOOKUP(Roster!$E$10,Team!$BL$2:$MK$128,125,FALSE)</f>
        <v>#N/A</v>
      </c>
      <c r="AG126" s="76" t="e">
        <f>HLOOKUP(Roster!$E$11,Team!$BL$2:$MK$128,125,FALSE)</f>
        <v>#N/A</v>
      </c>
      <c r="AH126" s="76" t="e">
        <f>HLOOKUP(Roster!$E$12,Team!$BL$2:$MK$128,125,FALSE)</f>
        <v>#N/A</v>
      </c>
      <c r="AI126" s="76" t="e">
        <f>HLOOKUP(Roster!$E$13,Team!$BL$2:$MK$128,125,FALSE)</f>
        <v>#N/A</v>
      </c>
      <c r="AJ126" s="76" t="e">
        <f>HLOOKUP(Roster!$E$14,Team!$BL$2:$MK$128,125,FALSE)</f>
        <v>#N/A</v>
      </c>
      <c r="AK126" s="76" t="e">
        <f>HLOOKUP(Roster!$E$15,Team!$BL$2:$MK$128,125,FALSE)</f>
        <v>#N/A</v>
      </c>
      <c r="AL126" s="76" t="e">
        <f>HLOOKUP(Roster!$E$16,Team!$BL$2:$MK$128,125,FALSE)</f>
        <v>#N/A</v>
      </c>
      <c r="AM126" s="76" t="e">
        <f>HLOOKUP(Roster!$E$17,Team!$BL$2:$MK$128,125,FALSE)</f>
        <v>#N/A</v>
      </c>
      <c r="AN126" s="76" t="e">
        <f>HLOOKUP(Roster!$E$18,Team!$BL$2:$MK$128,125,FALSE)</f>
        <v>#N/A</v>
      </c>
      <c r="AO126" s="76" t="e">
        <f>HLOOKUP(Roster!$E$19,Team!$BL$2:$MK$128,125,FALSE)</f>
        <v>#N/A</v>
      </c>
      <c r="AP126" s="76" t="e">
        <f>HLOOKUP(Roster!$E$20,Team!$BL$2:$MK$128,125,FALSE)</f>
        <v>#N/A</v>
      </c>
      <c r="AR126" s="108">
        <f t="shared" si="17"/>
        <v>0</v>
      </c>
      <c r="AS126" s="108">
        <f t="shared" si="18"/>
        <v>0</v>
      </c>
      <c r="AT126" s="108">
        <f t="shared" si="19"/>
        <v>0</v>
      </c>
      <c r="AU126" s="108">
        <f t="shared" si="20"/>
        <v>0</v>
      </c>
      <c r="AV126" s="108">
        <f t="shared" si="21"/>
        <v>0</v>
      </c>
      <c r="AW126" s="108">
        <f t="shared" si="22"/>
        <v>0</v>
      </c>
      <c r="AX126" s="108">
        <f t="shared" si="23"/>
        <v>0</v>
      </c>
      <c r="AY126" s="108">
        <f t="shared" si="24"/>
        <v>0</v>
      </c>
      <c r="AZ126" s="108">
        <f t="shared" si="25"/>
        <v>0</v>
      </c>
      <c r="BA126" s="108">
        <f t="shared" si="26"/>
        <v>0</v>
      </c>
      <c r="BB126" s="108">
        <f t="shared" si="27"/>
        <v>0</v>
      </c>
      <c r="BC126" s="108">
        <f t="shared" si="28"/>
        <v>0</v>
      </c>
      <c r="BD126" s="108">
        <f t="shared" si="29"/>
        <v>0</v>
      </c>
      <c r="BE126" s="108">
        <f t="shared" si="30"/>
        <v>0</v>
      </c>
      <c r="BF126" s="108">
        <f t="shared" si="31"/>
        <v>0</v>
      </c>
      <c r="BG126" s="108">
        <f t="shared" si="32"/>
        <v>0</v>
      </c>
      <c r="BL126" s="76"/>
      <c r="BM126" s="76"/>
      <c r="BN126" s="76"/>
      <c r="BO126" s="76"/>
      <c r="BP126" s="76"/>
      <c r="BQ126" s="76"/>
      <c r="BR126" s="76"/>
      <c r="BS126" s="77"/>
      <c r="BT126" s="77"/>
      <c r="BW126" s="80" t="s">
        <v>361</v>
      </c>
      <c r="BX126" s="79"/>
      <c r="BY126" s="79"/>
      <c r="BZ126" s="79"/>
      <c r="CA126" s="79"/>
      <c r="CB126" s="80" t="s">
        <v>361</v>
      </c>
      <c r="CC126" s="77"/>
      <c r="CD126" s="77"/>
      <c r="CE126" s="77"/>
      <c r="CF126" s="77"/>
      <c r="CG126" s="77"/>
      <c r="CH126" s="77"/>
      <c r="CI126" s="77"/>
      <c r="CK126" s="80" t="s">
        <v>361</v>
      </c>
      <c r="CO126" s="80" t="s">
        <v>361</v>
      </c>
      <c r="FH126" s="80" t="s">
        <v>361</v>
      </c>
      <c r="GI126" s="80" t="s">
        <v>361</v>
      </c>
      <c r="IC126" s="80" t="s">
        <v>361</v>
      </c>
      <c r="ID126" s="80" t="s">
        <v>361</v>
      </c>
      <c r="IE126" s="80" t="s">
        <v>361</v>
      </c>
      <c r="JF126" s="80" t="s">
        <v>361</v>
      </c>
      <c r="JG126" s="80" t="s">
        <v>361</v>
      </c>
      <c r="JH126" s="80" t="s">
        <v>361</v>
      </c>
      <c r="JI126" s="80" t="s">
        <v>361</v>
      </c>
    </row>
    <row r="127" spans="1:269" x14ac:dyDescent="0.15">
      <c r="A127" s="214" t="s">
        <v>163</v>
      </c>
      <c r="B127" s="6" t="s">
        <v>489</v>
      </c>
      <c r="C127" s="6">
        <v>30000</v>
      </c>
      <c r="D127" s="6">
        <v>2</v>
      </c>
      <c r="E127" s="6">
        <v>5</v>
      </c>
      <c r="F127" s="6">
        <v>2</v>
      </c>
      <c r="G127" s="6" t="s">
        <v>36</v>
      </c>
      <c r="H127" s="6" t="s">
        <v>37</v>
      </c>
      <c r="I127" s="6" t="s">
        <v>103</v>
      </c>
      <c r="J127" s="21" t="s">
        <v>168</v>
      </c>
      <c r="K127" s="21">
        <v>2</v>
      </c>
      <c r="L127" s="21">
        <v>1</v>
      </c>
      <c r="M127" s="21">
        <v>2</v>
      </c>
      <c r="N127" s="21">
        <v>0</v>
      </c>
      <c r="O127" s="21">
        <v>0</v>
      </c>
      <c r="P127" s="21" t="str">
        <f>IF(TeamT[[#This Row],[General]]+TeamT[[#This Row],[Agility]]+TeamT[[#This Row],[Strength]]+TeamT[[#This Row],[Passing]]+TeamT[[#This Row],[Mutation]]&gt;0,IF(TeamT[[#This Row],[General]]=1,"G","")&amp;IF(TeamT[[#This Row],[Agility]]=1,"A","")&amp;IF(TeamT[[#This Row],[Strength]]=1,"S","")&amp;IF(TeamT[[#This Row],[Passing]]=1,"P","")&amp;IF(TeamT[[#This Row],[Mutation]]=1,"M",""),"Star")</f>
        <v>A</v>
      </c>
      <c r="Q127" s="21" t="str">
        <f>IF(TeamT[[#This Row],[General]]=2,"G","")&amp;IF(TeamT[[#This Row],[Agility]]=2,"A","")&amp;IF(TeamT[[#This Row],[Strength]]=2,"S","")&amp;IF(TeamT[[#This Row],[Passing]]=2,"P","")&amp;IF(TeamT[[#This Row],[Mutation]]=2,"M","")</f>
        <v>GS</v>
      </c>
      <c r="R127" s="212"/>
      <c r="S127" s="21">
        <v>3</v>
      </c>
      <c r="T127" s="21">
        <v>4</v>
      </c>
      <c r="U127" s="21">
        <v>7</v>
      </c>
      <c r="AA127" s="76" t="e">
        <f>HLOOKUP(Roster!$E$5,Team!$BL$2:ADN$128,126,FALSE)</f>
        <v>#N/A</v>
      </c>
      <c r="AB127" s="76" t="e">
        <f>HLOOKUP(Roster!$E$6,Team!$BL$2:$MK$128,126,FALSE)</f>
        <v>#N/A</v>
      </c>
      <c r="AC127" s="76" t="e">
        <f>HLOOKUP(Roster!$E$7,Team!$BL$2:$MK$128,126,FALSE)</f>
        <v>#N/A</v>
      </c>
      <c r="AD127" s="76" t="e">
        <f>HLOOKUP(Roster!$E$8,Team!$BL$2:$MK$128,126,FALSE)</f>
        <v>#N/A</v>
      </c>
      <c r="AE127" s="76" t="e">
        <f>HLOOKUP(Roster!$E$9,Team!$BL$2:$MK$128,126,FALSE)</f>
        <v>#N/A</v>
      </c>
      <c r="AF127" s="76" t="e">
        <f>HLOOKUP(Roster!$E$10,Team!$BL$2:$MK$128,126,FALSE)</f>
        <v>#N/A</v>
      </c>
      <c r="AG127" s="76" t="e">
        <f>HLOOKUP(Roster!$E$11,Team!$BL$2:$MK$128,126,FALSE)</f>
        <v>#N/A</v>
      </c>
      <c r="AH127" s="76" t="e">
        <f>HLOOKUP(Roster!$E$12,Team!$BL$2:$MK$128,126,FALSE)</f>
        <v>#N/A</v>
      </c>
      <c r="AI127" s="76" t="e">
        <f>HLOOKUP(Roster!$E$13,Team!$BL$2:$MK$128,126,FALSE)</f>
        <v>#N/A</v>
      </c>
      <c r="AJ127" s="76" t="e">
        <f>HLOOKUP(Roster!$E$14,Team!$BL$2:$MK$128,126,FALSE)</f>
        <v>#N/A</v>
      </c>
      <c r="AK127" s="76" t="e">
        <f>HLOOKUP(Roster!$E$15,Team!$BL$2:$MK$128,126,FALSE)</f>
        <v>#N/A</v>
      </c>
      <c r="AL127" s="76" t="e">
        <f>HLOOKUP(Roster!$E$16,Team!$BL$2:$MK$128,126,FALSE)</f>
        <v>#N/A</v>
      </c>
      <c r="AM127" s="76" t="e">
        <f>HLOOKUP(Roster!$E$17,Team!$BL$2:$MK$128,126,FALSE)</f>
        <v>#N/A</v>
      </c>
      <c r="AN127" s="76" t="e">
        <f>HLOOKUP(Roster!$E$18,Team!$BL$2:$MK$128,126,FALSE)</f>
        <v>#N/A</v>
      </c>
      <c r="AO127" s="76" t="e">
        <f>HLOOKUP(Roster!$E$19,Team!$BL$2:$MK$128,126,FALSE)</f>
        <v>#N/A</v>
      </c>
      <c r="AP127" s="76" t="e">
        <f>HLOOKUP(Roster!$E$20,Team!$BL$2:$MK$128,126,FALSE)</f>
        <v>#N/A</v>
      </c>
      <c r="AR127" s="108">
        <f t="shared" si="17"/>
        <v>0</v>
      </c>
      <c r="AS127" s="108">
        <f t="shared" si="18"/>
        <v>0</v>
      </c>
      <c r="AT127" s="108">
        <f t="shared" si="19"/>
        <v>0</v>
      </c>
      <c r="AU127" s="108">
        <f t="shared" si="20"/>
        <v>0</v>
      </c>
      <c r="AV127" s="108">
        <f t="shared" si="21"/>
        <v>0</v>
      </c>
      <c r="AW127" s="108">
        <f t="shared" si="22"/>
        <v>0</v>
      </c>
      <c r="AX127" s="108">
        <f t="shared" si="23"/>
        <v>0</v>
      </c>
      <c r="AY127" s="108">
        <f t="shared" si="24"/>
        <v>0</v>
      </c>
      <c r="AZ127" s="108">
        <f t="shared" si="25"/>
        <v>0</v>
      </c>
      <c r="BA127" s="108">
        <f t="shared" si="26"/>
        <v>0</v>
      </c>
      <c r="BB127" s="108">
        <f t="shared" si="27"/>
        <v>0</v>
      </c>
      <c r="BC127" s="108">
        <f t="shared" si="28"/>
        <v>0</v>
      </c>
      <c r="BD127" s="108">
        <f t="shared" si="29"/>
        <v>0</v>
      </c>
      <c r="BE127" s="108">
        <f t="shared" si="30"/>
        <v>0</v>
      </c>
      <c r="BF127" s="108">
        <f t="shared" si="31"/>
        <v>0</v>
      </c>
      <c r="BG127" s="108">
        <f t="shared" si="32"/>
        <v>0</v>
      </c>
      <c r="BL127" s="76"/>
      <c r="BM127" s="76"/>
      <c r="BN127" s="76"/>
      <c r="BO127" s="76"/>
      <c r="BP127" s="76"/>
      <c r="BQ127" s="76"/>
      <c r="BR127" s="76"/>
      <c r="BS127" s="77"/>
      <c r="BT127" s="77"/>
      <c r="BW127" s="81" t="s">
        <v>362</v>
      </c>
      <c r="BX127" s="79"/>
      <c r="BY127" s="79"/>
      <c r="BZ127" s="79"/>
      <c r="CA127" s="79"/>
      <c r="CB127" s="81" t="s">
        <v>362</v>
      </c>
      <c r="CC127" s="77"/>
      <c r="CD127" s="77"/>
      <c r="CE127" s="77"/>
      <c r="CF127" s="77"/>
      <c r="CG127" s="77"/>
      <c r="CH127" s="77"/>
      <c r="CI127" s="77"/>
      <c r="CK127" s="81" t="s">
        <v>362</v>
      </c>
      <c r="CO127" s="81" t="s">
        <v>362</v>
      </c>
      <c r="FH127" s="81" t="s">
        <v>362</v>
      </c>
      <c r="GI127" s="81" t="s">
        <v>362</v>
      </c>
      <c r="IC127" s="81" t="s">
        <v>362</v>
      </c>
      <c r="ID127" s="81" t="s">
        <v>362</v>
      </c>
      <c r="IE127" s="81" t="s">
        <v>362</v>
      </c>
      <c r="JF127" s="81" t="s">
        <v>362</v>
      </c>
      <c r="JG127" s="81" t="s">
        <v>362</v>
      </c>
      <c r="JH127" s="81" t="s">
        <v>362</v>
      </c>
      <c r="JI127" s="81" t="s">
        <v>362</v>
      </c>
    </row>
    <row r="128" spans="1:269" x14ac:dyDescent="0.15">
      <c r="A128" s="214" t="s">
        <v>388</v>
      </c>
      <c r="B128" s="6" t="s">
        <v>489</v>
      </c>
      <c r="C128" s="6">
        <v>140000</v>
      </c>
      <c r="D128" s="6">
        <v>1</v>
      </c>
      <c r="E128" s="6">
        <v>5</v>
      </c>
      <c r="F128" s="6">
        <v>5</v>
      </c>
      <c r="G128" s="6" t="s">
        <v>37</v>
      </c>
      <c r="H128" s="6" t="s">
        <v>40</v>
      </c>
      <c r="I128" s="6" t="s">
        <v>41</v>
      </c>
      <c r="J128" s="21" t="s">
        <v>52</v>
      </c>
      <c r="K128" s="21">
        <v>2</v>
      </c>
      <c r="L128" s="21">
        <v>2</v>
      </c>
      <c r="M128" s="21">
        <v>1</v>
      </c>
      <c r="N128" s="21">
        <v>0</v>
      </c>
      <c r="O128" s="21">
        <v>0</v>
      </c>
      <c r="P128" s="21" t="str">
        <f>IF(TeamT[[#This Row],[General]]+TeamT[[#This Row],[Agility]]+TeamT[[#This Row],[Strength]]+TeamT[[#This Row],[Passing]]+TeamT[[#This Row],[Mutation]]&gt;0,IF(TeamT[[#This Row],[General]]=1,"G","")&amp;IF(TeamT[[#This Row],[Agility]]=1,"A","")&amp;IF(TeamT[[#This Row],[Strength]]=1,"S","")&amp;IF(TeamT[[#This Row],[Passing]]=1,"P","")&amp;IF(TeamT[[#This Row],[Mutation]]=1,"M",""),"Star")</f>
        <v>S</v>
      </c>
      <c r="Q128" s="21" t="str">
        <f>IF(TeamT[[#This Row],[General]]=2,"G","")&amp;IF(TeamT[[#This Row],[Agility]]=2,"A","")&amp;IF(TeamT[[#This Row],[Strength]]=2,"S","")&amp;IF(TeamT[[#This Row],[Passing]]=2,"P","")&amp;IF(TeamT[[#This Row],[Mutation]]=2,"M","")</f>
        <v>GA</v>
      </c>
      <c r="R128" s="212"/>
      <c r="S128" s="21">
        <v>4</v>
      </c>
      <c r="T128" s="21">
        <v>5</v>
      </c>
      <c r="U128" s="21">
        <v>10</v>
      </c>
      <c r="AA128" s="76" t="e">
        <f>HLOOKUP(Roster!$E$5,Team!$BL$2:$MK$128,127,FALSE)</f>
        <v>#N/A</v>
      </c>
      <c r="AB128" s="76" t="e">
        <f>HLOOKUP(Roster!$E$6,Team!$BL$2:$MK$128,127,FALSE)</f>
        <v>#N/A</v>
      </c>
      <c r="AC128" s="76" t="e">
        <f>HLOOKUP(Roster!$E$7,Team!$BL$2:$MK$128,127,FALSE)</f>
        <v>#N/A</v>
      </c>
      <c r="AD128" s="76" t="e">
        <f>HLOOKUP(Roster!$E$8,Team!$BL$2:$MK$128,127,FALSE)</f>
        <v>#N/A</v>
      </c>
      <c r="AE128" s="76" t="e">
        <f>HLOOKUP(Roster!$E$9,Team!$BL$2:$MK$128,127,FALSE)</f>
        <v>#N/A</v>
      </c>
      <c r="AF128" s="76" t="e">
        <f>HLOOKUP(Roster!$E$10,Team!$BL$2:$MK$128,127,FALSE)</f>
        <v>#N/A</v>
      </c>
      <c r="AG128" s="76" t="e">
        <f>HLOOKUP(Roster!$E$11,Team!$BL$2:$MK$128,127,FALSE)</f>
        <v>#N/A</v>
      </c>
      <c r="AH128" s="76" t="e">
        <f>HLOOKUP(Roster!$E$12,Team!$BL$2:$MK$128,127,FALSE)</f>
        <v>#N/A</v>
      </c>
      <c r="AI128" s="76" t="e">
        <f>HLOOKUP(Roster!$E$13,Team!$BL$2:$MK$128,127,FALSE)</f>
        <v>#N/A</v>
      </c>
      <c r="AJ128" s="76" t="e">
        <f>HLOOKUP(Roster!$E$14,Team!$BL$2:$MK$128,127,FALSE)</f>
        <v>#N/A</v>
      </c>
      <c r="AK128" s="76" t="e">
        <f>HLOOKUP(Roster!$E$15,Team!$BL$2:$MK$128,127,FALSE)</f>
        <v>#N/A</v>
      </c>
      <c r="AL128" s="76" t="e">
        <f>HLOOKUP(Roster!$E$16,Team!$BL$2:$MK$128,127,FALSE)</f>
        <v>#N/A</v>
      </c>
      <c r="AM128" s="76" t="e">
        <f>HLOOKUP(Roster!$E$17,Team!$BL$2:$MK$128,127,FALSE)</f>
        <v>#N/A</v>
      </c>
      <c r="AN128" s="76" t="e">
        <f>HLOOKUP(Roster!$E$18,Team!$BL$2:$MK$128,127,FALSE)</f>
        <v>#N/A</v>
      </c>
      <c r="AO128" s="76" t="e">
        <f>HLOOKUP(Roster!$E$19,Team!$BL$2:$MK$128,127,FALSE)</f>
        <v>#N/A</v>
      </c>
      <c r="AP128" s="76" t="e">
        <f>HLOOKUP(Roster!$E$20,Team!$BL$2:$MK$128,127,FALSE)</f>
        <v>#N/A</v>
      </c>
      <c r="AR128" s="108">
        <f t="shared" si="17"/>
        <v>0</v>
      </c>
      <c r="AS128" s="108">
        <f t="shared" si="18"/>
        <v>0</v>
      </c>
      <c r="AT128" s="108">
        <f t="shared" si="19"/>
        <v>0</v>
      </c>
      <c r="AU128" s="108">
        <f t="shared" si="20"/>
        <v>0</v>
      </c>
      <c r="AV128" s="108">
        <f t="shared" si="21"/>
        <v>0</v>
      </c>
      <c r="AW128" s="108">
        <f t="shared" si="22"/>
        <v>0</v>
      </c>
      <c r="AX128" s="108">
        <f t="shared" si="23"/>
        <v>0</v>
      </c>
      <c r="AY128" s="108">
        <f t="shared" si="24"/>
        <v>0</v>
      </c>
      <c r="AZ128" s="108">
        <f t="shared" si="25"/>
        <v>0</v>
      </c>
      <c r="BA128" s="108">
        <f t="shared" si="26"/>
        <v>0</v>
      </c>
      <c r="BB128" s="108">
        <f t="shared" si="27"/>
        <v>0</v>
      </c>
      <c r="BC128" s="108">
        <f t="shared" si="28"/>
        <v>0</v>
      </c>
      <c r="BD128" s="108">
        <f t="shared" si="29"/>
        <v>0</v>
      </c>
      <c r="BE128" s="108">
        <f t="shared" si="30"/>
        <v>0</v>
      </c>
      <c r="BF128" s="108">
        <f t="shared" si="31"/>
        <v>0</v>
      </c>
      <c r="BG128" s="108">
        <f t="shared" si="32"/>
        <v>0</v>
      </c>
      <c r="BL128" s="76"/>
      <c r="BM128" s="76"/>
      <c r="BN128" s="76"/>
      <c r="BO128" s="76"/>
      <c r="BP128" s="76"/>
      <c r="BQ128" s="76"/>
      <c r="BR128" s="76"/>
      <c r="BS128" s="77"/>
      <c r="BT128" s="77"/>
      <c r="BW128" s="81" t="s">
        <v>363</v>
      </c>
      <c r="BX128" s="79"/>
      <c r="BY128" s="79"/>
      <c r="BZ128" s="79"/>
      <c r="CA128" s="79"/>
      <c r="CB128" s="81" t="s">
        <v>363</v>
      </c>
      <c r="CC128" s="77"/>
      <c r="CD128" s="77"/>
      <c r="CE128" s="77"/>
      <c r="CF128" s="77"/>
      <c r="CG128" s="77"/>
      <c r="CH128" s="77"/>
      <c r="CI128" s="77"/>
      <c r="CK128" s="81" t="s">
        <v>363</v>
      </c>
      <c r="CO128" s="81" t="s">
        <v>363</v>
      </c>
      <c r="FH128" s="81" t="s">
        <v>363</v>
      </c>
      <c r="GI128" s="81" t="s">
        <v>363</v>
      </c>
      <c r="IC128" s="81" t="s">
        <v>363</v>
      </c>
      <c r="ID128" s="81" t="s">
        <v>363</v>
      </c>
      <c r="IE128" s="81" t="s">
        <v>363</v>
      </c>
      <c r="JF128" s="81" t="s">
        <v>363</v>
      </c>
      <c r="JG128" s="81" t="s">
        <v>363</v>
      </c>
      <c r="JH128" s="81" t="s">
        <v>363</v>
      </c>
      <c r="JI128" s="81" t="s">
        <v>363</v>
      </c>
    </row>
    <row r="129" spans="1:21" x14ac:dyDescent="0.15">
      <c r="A129" s="214" t="s">
        <v>532</v>
      </c>
      <c r="B129" s="6" t="s">
        <v>489</v>
      </c>
      <c r="C129" s="6">
        <v>120000</v>
      </c>
      <c r="D129" s="6">
        <v>1</v>
      </c>
      <c r="E129" s="6">
        <v>2</v>
      </c>
      <c r="F129" s="6">
        <v>6</v>
      </c>
      <c r="G129" s="6" t="s">
        <v>40</v>
      </c>
      <c r="H129" s="6" t="s">
        <v>40</v>
      </c>
      <c r="I129" s="6" t="s">
        <v>82</v>
      </c>
      <c r="J129" s="21" t="s">
        <v>164</v>
      </c>
      <c r="K129" s="21">
        <v>2</v>
      </c>
      <c r="L129" s="21">
        <v>2</v>
      </c>
      <c r="M129" s="21">
        <v>1</v>
      </c>
      <c r="N129" s="21">
        <v>2</v>
      </c>
      <c r="O129" s="21">
        <v>0</v>
      </c>
      <c r="P129" s="21" t="str">
        <f>IF(TeamT[[#This Row],[General]]+TeamT[[#This Row],[Agility]]+TeamT[[#This Row],[Strength]]+TeamT[[#This Row],[Passing]]+TeamT[[#This Row],[Mutation]]&gt;0,IF(TeamT[[#This Row],[General]]=1,"G","")&amp;IF(TeamT[[#This Row],[Agility]]=1,"A","")&amp;IF(TeamT[[#This Row],[Strength]]=1,"S","")&amp;IF(TeamT[[#This Row],[Passing]]=1,"P","")&amp;IF(TeamT[[#This Row],[Mutation]]=1,"M",""),"Star")</f>
        <v>S</v>
      </c>
      <c r="Q129" s="21" t="str">
        <f>IF(TeamT[[#This Row],[General]]=2,"G","")&amp;IF(TeamT[[#This Row],[Agility]]=2,"A","")&amp;IF(TeamT[[#This Row],[Strength]]=2,"S","")&amp;IF(TeamT[[#This Row],[Passing]]=2,"P","")&amp;IF(TeamT[[#This Row],[Mutation]]=2,"M","")</f>
        <v>GAP</v>
      </c>
      <c r="R129" s="212"/>
      <c r="S129" s="21">
        <v>5</v>
      </c>
      <c r="T129" s="21">
        <v>5</v>
      </c>
      <c r="U129" s="21">
        <v>11</v>
      </c>
    </row>
    <row r="130" spans="1:21" x14ac:dyDescent="0.15">
      <c r="A130" s="214" t="s">
        <v>550</v>
      </c>
      <c r="B130" s="6" t="s">
        <v>489</v>
      </c>
      <c r="C130" s="6">
        <v>50000</v>
      </c>
      <c r="D130" s="6">
        <v>11</v>
      </c>
      <c r="E130" s="6">
        <v>6</v>
      </c>
      <c r="F130" s="6">
        <v>3</v>
      </c>
      <c r="G130" s="6" t="s">
        <v>36</v>
      </c>
      <c r="H130" s="6" t="s">
        <v>37</v>
      </c>
      <c r="I130" s="6" t="s">
        <v>46</v>
      </c>
      <c r="J130" s="21" t="s">
        <v>65</v>
      </c>
      <c r="K130" s="21">
        <v>1</v>
      </c>
      <c r="L130" s="21">
        <v>2</v>
      </c>
      <c r="M130" s="21">
        <v>2</v>
      </c>
      <c r="N130" s="21">
        <v>0</v>
      </c>
      <c r="O130" s="21">
        <v>0</v>
      </c>
      <c r="P130" s="21" t="str">
        <f>IF(TeamT[[#This Row],[General]]+TeamT[[#This Row],[Agility]]+TeamT[[#This Row],[Strength]]+TeamT[[#This Row],[Passing]]+TeamT[[#This Row],[Mutation]]&gt;0,IF(TeamT[[#This Row],[General]]=1,"G","")&amp;IF(TeamT[[#This Row],[Agility]]=1,"A","")&amp;IF(TeamT[[#This Row],[Strength]]=1,"S","")&amp;IF(TeamT[[#This Row],[Passing]]=1,"P","")&amp;IF(TeamT[[#This Row],[Mutation]]=1,"M",""),"Star")</f>
        <v>G</v>
      </c>
      <c r="Q130" s="21" t="str">
        <f>IF(TeamT[[#This Row],[General]]=2,"G","")&amp;IF(TeamT[[#This Row],[Agility]]=2,"A","")&amp;IF(TeamT[[#This Row],[Strength]]=2,"S","")&amp;IF(TeamT[[#This Row],[Passing]]=2,"P","")&amp;IF(TeamT[[#This Row],[Mutation]]=2,"M","")</f>
        <v>AS</v>
      </c>
      <c r="R130" s="212"/>
      <c r="S130" s="21">
        <v>3</v>
      </c>
      <c r="T130" s="21">
        <v>4</v>
      </c>
      <c r="U130" s="21">
        <v>9</v>
      </c>
    </row>
    <row r="131" spans="1:21" x14ac:dyDescent="0.15">
      <c r="A131" s="214" t="s">
        <v>503</v>
      </c>
      <c r="B131" s="6" t="s">
        <v>25</v>
      </c>
      <c r="C131" s="6">
        <v>50000</v>
      </c>
      <c r="D131" s="6">
        <v>16</v>
      </c>
      <c r="E131" s="6">
        <v>5</v>
      </c>
      <c r="F131" s="6">
        <v>3</v>
      </c>
      <c r="G131" s="6" t="s">
        <v>36</v>
      </c>
      <c r="H131" s="6" t="s">
        <v>37</v>
      </c>
      <c r="I131" s="6" t="s">
        <v>41</v>
      </c>
      <c r="J131" s="21" t="s">
        <v>172</v>
      </c>
      <c r="K131" s="21">
        <v>1</v>
      </c>
      <c r="L131" s="21">
        <v>2</v>
      </c>
      <c r="M131" s="21">
        <v>2</v>
      </c>
      <c r="N131" s="21">
        <v>0</v>
      </c>
      <c r="O131" s="21">
        <v>0</v>
      </c>
      <c r="P131" s="21" t="str">
        <f>IF(TeamT[[#This Row],[General]]+TeamT[[#This Row],[Agility]]+TeamT[[#This Row],[Strength]]+TeamT[[#This Row],[Passing]]+TeamT[[#This Row],[Mutation]]&gt;0,IF(TeamT[[#This Row],[General]]=1,"G","")&amp;IF(TeamT[[#This Row],[Agility]]=1,"A","")&amp;IF(TeamT[[#This Row],[Strength]]=1,"S","")&amp;IF(TeamT[[#This Row],[Passing]]=1,"P","")&amp;IF(TeamT[[#This Row],[Mutation]]=1,"M",""),"Star")</f>
        <v>G</v>
      </c>
      <c r="Q131" s="21" t="str">
        <f>IF(TeamT[[#This Row],[General]]=2,"G","")&amp;IF(TeamT[[#This Row],[Agility]]=2,"A","")&amp;IF(TeamT[[#This Row],[Strength]]=2,"S","")&amp;IF(TeamT[[#This Row],[Passing]]=2,"P","")&amp;IF(TeamT[[#This Row],[Mutation]]=2,"M","")</f>
        <v>AS</v>
      </c>
      <c r="R131" s="212"/>
      <c r="S131" s="21">
        <v>3</v>
      </c>
      <c r="T131" s="21">
        <v>4</v>
      </c>
      <c r="U131" s="21">
        <v>10</v>
      </c>
    </row>
    <row r="132" spans="1:21" x14ac:dyDescent="0.15">
      <c r="A132" s="214" t="s">
        <v>169</v>
      </c>
      <c r="B132" s="6" t="s">
        <v>25</v>
      </c>
      <c r="C132" s="6">
        <v>65000</v>
      </c>
      <c r="D132" s="6">
        <v>2</v>
      </c>
      <c r="E132" s="6">
        <v>5</v>
      </c>
      <c r="F132" s="6">
        <v>3</v>
      </c>
      <c r="G132" s="6" t="s">
        <v>36</v>
      </c>
      <c r="H132" s="6" t="s">
        <v>36</v>
      </c>
      <c r="I132" s="6" t="s">
        <v>46</v>
      </c>
      <c r="J132" s="21" t="s">
        <v>173</v>
      </c>
      <c r="K132" s="21">
        <v>1</v>
      </c>
      <c r="L132" s="21">
        <v>2</v>
      </c>
      <c r="M132" s="21">
        <v>2</v>
      </c>
      <c r="N132" s="21">
        <v>1</v>
      </c>
      <c r="O132" s="21">
        <v>0</v>
      </c>
      <c r="P132" s="21" t="str">
        <f>IF(TeamT[[#This Row],[General]]+TeamT[[#This Row],[Agility]]+TeamT[[#This Row],[Strength]]+TeamT[[#This Row],[Passing]]+TeamT[[#This Row],[Mutation]]&gt;0,IF(TeamT[[#This Row],[General]]=1,"G","")&amp;IF(TeamT[[#This Row],[Agility]]=1,"A","")&amp;IF(TeamT[[#This Row],[Strength]]=1,"S","")&amp;IF(TeamT[[#This Row],[Passing]]=1,"P","")&amp;IF(TeamT[[#This Row],[Mutation]]=1,"M",""),"Star")</f>
        <v>GP</v>
      </c>
      <c r="Q132" s="21" t="str">
        <f>IF(TeamT[[#This Row],[General]]=2,"G","")&amp;IF(TeamT[[#This Row],[Agility]]=2,"A","")&amp;IF(TeamT[[#This Row],[Strength]]=2,"S","")&amp;IF(TeamT[[#This Row],[Passing]]=2,"P","")&amp;IF(TeamT[[#This Row],[Mutation]]=2,"M","")</f>
        <v>AS</v>
      </c>
      <c r="R132" s="212"/>
      <c r="S132" s="21">
        <v>3</v>
      </c>
      <c r="T132" s="21">
        <v>3</v>
      </c>
      <c r="U132" s="21">
        <v>9</v>
      </c>
    </row>
    <row r="133" spans="1:21" x14ac:dyDescent="0.15">
      <c r="A133" s="214" t="s">
        <v>170</v>
      </c>
      <c r="B133" s="6" t="s">
        <v>25</v>
      </c>
      <c r="C133" s="6">
        <v>80000</v>
      </c>
      <c r="D133" s="6">
        <v>4</v>
      </c>
      <c r="E133" s="6">
        <v>6</v>
      </c>
      <c r="F133" s="6">
        <v>3</v>
      </c>
      <c r="G133" s="6" t="s">
        <v>36</v>
      </c>
      <c r="H133" s="6" t="s">
        <v>37</v>
      </c>
      <c r="I133" s="6" t="s">
        <v>41</v>
      </c>
      <c r="J133" s="21" t="s">
        <v>174</v>
      </c>
      <c r="K133" s="21">
        <v>1</v>
      </c>
      <c r="L133" s="21">
        <v>2</v>
      </c>
      <c r="M133" s="21">
        <v>1</v>
      </c>
      <c r="N133" s="21">
        <v>2</v>
      </c>
      <c r="O133" s="21">
        <v>0</v>
      </c>
      <c r="P133" s="21" t="str">
        <f>IF(TeamT[[#This Row],[General]]+TeamT[[#This Row],[Agility]]+TeamT[[#This Row],[Strength]]+TeamT[[#This Row],[Passing]]+TeamT[[#This Row],[Mutation]]&gt;0,IF(TeamT[[#This Row],[General]]=1,"G","")&amp;IF(TeamT[[#This Row],[Agility]]=1,"A","")&amp;IF(TeamT[[#This Row],[Strength]]=1,"S","")&amp;IF(TeamT[[#This Row],[Passing]]=1,"P","")&amp;IF(TeamT[[#This Row],[Mutation]]=1,"M",""),"Star")</f>
        <v>GS</v>
      </c>
      <c r="Q133" s="21" t="str">
        <f>IF(TeamT[[#This Row],[General]]=2,"G","")&amp;IF(TeamT[[#This Row],[Agility]]=2,"A","")&amp;IF(TeamT[[#This Row],[Strength]]=2,"S","")&amp;IF(TeamT[[#This Row],[Passing]]=2,"P","")&amp;IF(TeamT[[#This Row],[Mutation]]=2,"M","")</f>
        <v>AP</v>
      </c>
      <c r="R133" s="212"/>
      <c r="S133" s="21">
        <v>3</v>
      </c>
      <c r="T133" s="21">
        <v>4</v>
      </c>
      <c r="U133" s="21">
        <v>10</v>
      </c>
    </row>
    <row r="134" spans="1:21" x14ac:dyDescent="0.15">
      <c r="A134" s="214" t="s">
        <v>516</v>
      </c>
      <c r="B134" s="6" t="s">
        <v>25</v>
      </c>
      <c r="C134" s="6">
        <v>90000</v>
      </c>
      <c r="D134" s="6">
        <v>4</v>
      </c>
      <c r="E134" s="6">
        <v>5</v>
      </c>
      <c r="F134" s="6">
        <v>4</v>
      </c>
      <c r="G134" s="6" t="s">
        <v>37</v>
      </c>
      <c r="H134" s="6" t="s">
        <v>53</v>
      </c>
      <c r="I134" s="6" t="s">
        <v>41</v>
      </c>
      <c r="J134" s="21" t="s">
        <v>711</v>
      </c>
      <c r="K134" s="21">
        <v>1</v>
      </c>
      <c r="L134" s="21">
        <v>2</v>
      </c>
      <c r="M134" s="21">
        <v>1</v>
      </c>
      <c r="N134" s="21">
        <v>0</v>
      </c>
      <c r="O134" s="21">
        <v>0</v>
      </c>
      <c r="P134" s="21" t="str">
        <f>IF(TeamT[[#This Row],[General]]+TeamT[[#This Row],[Agility]]+TeamT[[#This Row],[Strength]]+TeamT[[#This Row],[Passing]]+TeamT[[#This Row],[Mutation]]&gt;0,IF(TeamT[[#This Row],[General]]=1,"G","")&amp;IF(TeamT[[#This Row],[Agility]]=1,"A","")&amp;IF(TeamT[[#This Row],[Strength]]=1,"S","")&amp;IF(TeamT[[#This Row],[Passing]]=1,"P","")&amp;IF(TeamT[[#This Row],[Mutation]]=1,"M",""),"Star")</f>
        <v>GS</v>
      </c>
      <c r="Q134" s="21" t="str">
        <f>IF(TeamT[[#This Row],[General]]=2,"G","")&amp;IF(TeamT[[#This Row],[Agility]]=2,"A","")&amp;IF(TeamT[[#This Row],[Strength]]=2,"S","")&amp;IF(TeamT[[#This Row],[Passing]]=2,"P","")&amp;IF(TeamT[[#This Row],[Mutation]]=2,"M","")</f>
        <v>A</v>
      </c>
      <c r="R134" s="212"/>
      <c r="S134" s="21">
        <v>4</v>
      </c>
      <c r="T134" s="21" t="s">
        <v>53</v>
      </c>
      <c r="U134" s="21">
        <v>10</v>
      </c>
    </row>
    <row r="135" spans="1:21" x14ac:dyDescent="0.15">
      <c r="A135" s="214" t="s">
        <v>524</v>
      </c>
      <c r="B135" s="6" t="s">
        <v>25</v>
      </c>
      <c r="C135" s="6">
        <v>40000</v>
      </c>
      <c r="D135" s="6">
        <v>4</v>
      </c>
      <c r="E135" s="6">
        <v>6</v>
      </c>
      <c r="F135" s="6">
        <v>2</v>
      </c>
      <c r="G135" s="6" t="s">
        <v>36</v>
      </c>
      <c r="H135" s="6" t="s">
        <v>37</v>
      </c>
      <c r="I135" s="6" t="s">
        <v>38</v>
      </c>
      <c r="J135" s="21" t="s">
        <v>95</v>
      </c>
      <c r="K135" s="21">
        <v>2</v>
      </c>
      <c r="L135" s="21">
        <v>1</v>
      </c>
      <c r="M135" s="21">
        <v>2</v>
      </c>
      <c r="N135" s="21">
        <v>0</v>
      </c>
      <c r="O135" s="21">
        <v>0</v>
      </c>
      <c r="P135" s="21" t="str">
        <f>IF(TeamT[[#This Row],[General]]+TeamT[[#This Row],[Agility]]+TeamT[[#This Row],[Strength]]+TeamT[[#This Row],[Passing]]+TeamT[[#This Row],[Mutation]]&gt;0,IF(TeamT[[#This Row],[General]]=1,"G","")&amp;IF(TeamT[[#This Row],[Agility]]=1,"A","")&amp;IF(TeamT[[#This Row],[Strength]]=1,"S","")&amp;IF(TeamT[[#This Row],[Passing]]=1,"P","")&amp;IF(TeamT[[#This Row],[Mutation]]=1,"M",""),"Star")</f>
        <v>A</v>
      </c>
      <c r="Q135" s="21" t="str">
        <f>IF(TeamT[[#This Row],[General]]=2,"G","")&amp;IF(TeamT[[#This Row],[Agility]]=2,"A","")&amp;IF(TeamT[[#This Row],[Strength]]=2,"S","")&amp;IF(TeamT[[#This Row],[Passing]]=2,"P","")&amp;IF(TeamT[[#This Row],[Mutation]]=2,"M","")</f>
        <v>GS</v>
      </c>
      <c r="R135" s="212"/>
      <c r="S135" s="21">
        <v>3</v>
      </c>
      <c r="T135" s="21">
        <v>4</v>
      </c>
      <c r="U135" s="21">
        <v>8</v>
      </c>
    </row>
    <row r="136" spans="1:21" x14ac:dyDescent="0.15">
      <c r="A136" s="214" t="s">
        <v>171</v>
      </c>
      <c r="B136" s="6" t="s">
        <v>25</v>
      </c>
      <c r="C136" s="6">
        <v>115000</v>
      </c>
      <c r="D136" s="6">
        <v>1</v>
      </c>
      <c r="E136" s="6">
        <v>4</v>
      </c>
      <c r="F136" s="6">
        <v>5</v>
      </c>
      <c r="G136" s="6" t="s">
        <v>40</v>
      </c>
      <c r="H136" s="6" t="s">
        <v>40</v>
      </c>
      <c r="I136" s="6" t="s">
        <v>41</v>
      </c>
      <c r="J136" s="21" t="s">
        <v>50</v>
      </c>
      <c r="K136" s="21">
        <v>2</v>
      </c>
      <c r="L136" s="21">
        <v>2</v>
      </c>
      <c r="M136" s="21">
        <v>1</v>
      </c>
      <c r="N136" s="21">
        <v>2</v>
      </c>
      <c r="O136" s="21">
        <v>0</v>
      </c>
      <c r="P136" s="21" t="str">
        <f>IF(TeamT[[#This Row],[General]]+TeamT[[#This Row],[Agility]]+TeamT[[#This Row],[Strength]]+TeamT[[#This Row],[Passing]]+TeamT[[#This Row],[Mutation]]&gt;0,IF(TeamT[[#This Row],[General]]=1,"G","")&amp;IF(TeamT[[#This Row],[Agility]]=1,"A","")&amp;IF(TeamT[[#This Row],[Strength]]=1,"S","")&amp;IF(TeamT[[#This Row],[Passing]]=1,"P","")&amp;IF(TeamT[[#This Row],[Mutation]]=1,"M",""),"Star")</f>
        <v>S</v>
      </c>
      <c r="Q136" s="21" t="str">
        <f>IF(TeamT[[#This Row],[General]]=2,"G","")&amp;IF(TeamT[[#This Row],[Agility]]=2,"A","")&amp;IF(TeamT[[#This Row],[Strength]]=2,"S","")&amp;IF(TeamT[[#This Row],[Passing]]=2,"P","")&amp;IF(TeamT[[#This Row],[Mutation]]=2,"M","")</f>
        <v>GAP</v>
      </c>
      <c r="R136" s="212"/>
      <c r="S136" s="21">
        <v>5</v>
      </c>
      <c r="T136" s="21">
        <v>5</v>
      </c>
      <c r="U136" s="21">
        <v>10</v>
      </c>
    </row>
    <row r="137" spans="1:21" x14ac:dyDescent="0.15">
      <c r="A137" s="214" t="s">
        <v>551</v>
      </c>
      <c r="B137" s="6" t="s">
        <v>25</v>
      </c>
      <c r="C137" s="6">
        <v>50000</v>
      </c>
      <c r="D137" s="6">
        <v>11</v>
      </c>
      <c r="E137" s="6">
        <v>5</v>
      </c>
      <c r="F137" s="6">
        <v>3</v>
      </c>
      <c r="G137" s="6" t="s">
        <v>36</v>
      </c>
      <c r="H137" s="6" t="s">
        <v>37</v>
      </c>
      <c r="I137" s="6" t="s">
        <v>41</v>
      </c>
      <c r="J137" s="21" t="s">
        <v>175</v>
      </c>
      <c r="K137" s="21">
        <v>1</v>
      </c>
      <c r="L137" s="21">
        <v>2</v>
      </c>
      <c r="M137" s="21">
        <v>2</v>
      </c>
      <c r="N137" s="21">
        <v>0</v>
      </c>
      <c r="O137" s="21">
        <v>0</v>
      </c>
      <c r="P137" s="21" t="str">
        <f>IF(TeamT[[#This Row],[General]]+TeamT[[#This Row],[Agility]]+TeamT[[#This Row],[Strength]]+TeamT[[#This Row],[Passing]]+TeamT[[#This Row],[Mutation]]&gt;0,IF(TeamT[[#This Row],[General]]=1,"G","")&amp;IF(TeamT[[#This Row],[Agility]]=1,"A","")&amp;IF(TeamT[[#This Row],[Strength]]=1,"S","")&amp;IF(TeamT[[#This Row],[Passing]]=1,"P","")&amp;IF(TeamT[[#This Row],[Mutation]]=1,"M",""),"Star")</f>
        <v>G</v>
      </c>
      <c r="Q137" s="21" t="str">
        <f>IF(TeamT[[#This Row],[General]]=2,"G","")&amp;IF(TeamT[[#This Row],[Agility]]=2,"A","")&amp;IF(TeamT[[#This Row],[Strength]]=2,"S","")&amp;IF(TeamT[[#This Row],[Passing]]=2,"P","")&amp;IF(TeamT[[#This Row],[Mutation]]=2,"M","")</f>
        <v>AS</v>
      </c>
      <c r="R137" s="212"/>
      <c r="S137" s="21">
        <v>3</v>
      </c>
      <c r="T137" s="21">
        <v>4</v>
      </c>
      <c r="U137" s="21">
        <v>10</v>
      </c>
    </row>
    <row r="138" spans="1:21" x14ac:dyDescent="0.15">
      <c r="A138" s="214" t="s">
        <v>504</v>
      </c>
      <c r="B138" s="6" t="s">
        <v>490</v>
      </c>
      <c r="C138" s="6">
        <v>40000</v>
      </c>
      <c r="D138" s="6">
        <v>12</v>
      </c>
      <c r="E138" s="6">
        <v>5</v>
      </c>
      <c r="F138" s="6">
        <v>3</v>
      </c>
      <c r="G138" s="6" t="s">
        <v>37</v>
      </c>
      <c r="H138" s="6" t="s">
        <v>96</v>
      </c>
      <c r="I138" s="6" t="s">
        <v>38</v>
      </c>
      <c r="J138" s="21" t="s">
        <v>179</v>
      </c>
      <c r="K138" s="21">
        <v>1</v>
      </c>
      <c r="L138" s="21">
        <v>2</v>
      </c>
      <c r="M138" s="21">
        <v>2</v>
      </c>
      <c r="N138" s="21">
        <v>0</v>
      </c>
      <c r="O138" s="21">
        <v>0</v>
      </c>
      <c r="P138" s="21" t="str">
        <f>IF(TeamT[[#This Row],[General]]+TeamT[[#This Row],[Agility]]+TeamT[[#This Row],[Strength]]+TeamT[[#This Row],[Passing]]+TeamT[[#This Row],[Mutation]]&gt;0,IF(TeamT[[#This Row],[General]]=1,"G","")&amp;IF(TeamT[[#This Row],[Agility]]=1,"A","")&amp;IF(TeamT[[#This Row],[Strength]]=1,"S","")&amp;IF(TeamT[[#This Row],[Passing]]=1,"P","")&amp;IF(TeamT[[#This Row],[Mutation]]=1,"M",""),"Star")</f>
        <v>G</v>
      </c>
      <c r="Q138" s="21" t="str">
        <f>IF(TeamT[[#This Row],[General]]=2,"G","")&amp;IF(TeamT[[#This Row],[Agility]]=2,"A","")&amp;IF(TeamT[[#This Row],[Strength]]=2,"S","")&amp;IF(TeamT[[#This Row],[Passing]]=2,"P","")&amp;IF(TeamT[[#This Row],[Mutation]]=2,"M","")</f>
        <v>AS</v>
      </c>
      <c r="R138" s="212"/>
      <c r="S138" s="21">
        <v>4</v>
      </c>
      <c r="T138" s="21">
        <v>6</v>
      </c>
      <c r="U138" s="21">
        <v>8</v>
      </c>
    </row>
    <row r="139" spans="1:21" x14ac:dyDescent="0.15">
      <c r="A139" s="214" t="s">
        <v>500</v>
      </c>
      <c r="B139" s="6" t="s">
        <v>490</v>
      </c>
      <c r="C139" s="6">
        <v>40000</v>
      </c>
      <c r="D139" s="6">
        <v>12</v>
      </c>
      <c r="E139" s="6">
        <v>4</v>
      </c>
      <c r="F139" s="6">
        <v>3</v>
      </c>
      <c r="G139" s="6" t="s">
        <v>37</v>
      </c>
      <c r="H139" s="6" t="s">
        <v>53</v>
      </c>
      <c r="I139" s="6" t="s">
        <v>46</v>
      </c>
      <c r="J139" s="21" t="s">
        <v>133</v>
      </c>
      <c r="K139" s="21">
        <v>1</v>
      </c>
      <c r="L139" s="21">
        <v>2</v>
      </c>
      <c r="M139" s="21">
        <v>2</v>
      </c>
      <c r="N139" s="21">
        <v>0</v>
      </c>
      <c r="O139" s="21">
        <v>0</v>
      </c>
      <c r="P139" s="21" t="str">
        <f>IF(TeamT[[#This Row],[General]]+TeamT[[#This Row],[Agility]]+TeamT[[#This Row],[Strength]]+TeamT[[#This Row],[Passing]]+TeamT[[#This Row],[Mutation]]&gt;0,IF(TeamT[[#This Row],[General]]=1,"G","")&amp;IF(TeamT[[#This Row],[Agility]]=1,"A","")&amp;IF(TeamT[[#This Row],[Strength]]=1,"S","")&amp;IF(TeamT[[#This Row],[Passing]]=1,"P","")&amp;IF(TeamT[[#This Row],[Mutation]]=1,"M",""),"Star")</f>
        <v>G</v>
      </c>
      <c r="Q139" s="21" t="str">
        <f>IF(TeamT[[#This Row],[General]]=2,"G","")&amp;IF(TeamT[[#This Row],[Agility]]=2,"A","")&amp;IF(TeamT[[#This Row],[Strength]]=2,"S","")&amp;IF(TeamT[[#This Row],[Passing]]=2,"P","")&amp;IF(TeamT[[#This Row],[Mutation]]=2,"M","")</f>
        <v>AS</v>
      </c>
      <c r="R139" s="212"/>
      <c r="S139" s="21">
        <v>4</v>
      </c>
      <c r="T139" s="21" t="s">
        <v>53</v>
      </c>
      <c r="U139" s="21">
        <v>9</v>
      </c>
    </row>
    <row r="140" spans="1:21" x14ac:dyDescent="0.15">
      <c r="A140" s="214" t="s">
        <v>130</v>
      </c>
      <c r="B140" s="6" t="s">
        <v>490</v>
      </c>
      <c r="C140" s="6">
        <v>75000</v>
      </c>
      <c r="D140" s="6">
        <v>4</v>
      </c>
      <c r="E140" s="6">
        <v>7</v>
      </c>
      <c r="F140" s="6">
        <v>3</v>
      </c>
      <c r="G140" s="6" t="s">
        <v>36</v>
      </c>
      <c r="H140" s="6" t="s">
        <v>37</v>
      </c>
      <c r="I140" s="6" t="s">
        <v>38</v>
      </c>
      <c r="J140" s="21" t="s">
        <v>134</v>
      </c>
      <c r="K140" s="21">
        <v>1</v>
      </c>
      <c r="L140" s="21">
        <v>1</v>
      </c>
      <c r="M140" s="21">
        <v>2</v>
      </c>
      <c r="N140" s="21">
        <v>2</v>
      </c>
      <c r="O140" s="21">
        <v>0</v>
      </c>
      <c r="P140" s="21" t="str">
        <f>IF(TeamT[[#This Row],[General]]+TeamT[[#This Row],[Agility]]+TeamT[[#This Row],[Strength]]+TeamT[[#This Row],[Passing]]+TeamT[[#This Row],[Mutation]]&gt;0,IF(TeamT[[#This Row],[General]]=1,"G","")&amp;IF(TeamT[[#This Row],[Agility]]=1,"A","")&amp;IF(TeamT[[#This Row],[Strength]]=1,"S","")&amp;IF(TeamT[[#This Row],[Passing]]=1,"P","")&amp;IF(TeamT[[#This Row],[Mutation]]=1,"M",""),"Star")</f>
        <v>GA</v>
      </c>
      <c r="Q140" s="21" t="str">
        <f>IF(TeamT[[#This Row],[General]]=2,"G","")&amp;IF(TeamT[[#This Row],[Agility]]=2,"A","")&amp;IF(TeamT[[#This Row],[Strength]]=2,"S","")&amp;IF(TeamT[[#This Row],[Passing]]=2,"P","")&amp;IF(TeamT[[#This Row],[Mutation]]=2,"M","")</f>
        <v>SP</v>
      </c>
      <c r="R140" s="212"/>
      <c r="S140" s="21">
        <v>3</v>
      </c>
      <c r="T140" s="21">
        <v>4</v>
      </c>
      <c r="U140" s="21">
        <v>8</v>
      </c>
    </row>
    <row r="141" spans="1:21" x14ac:dyDescent="0.15">
      <c r="A141" s="214" t="s">
        <v>177</v>
      </c>
      <c r="B141" s="6" t="s">
        <v>490</v>
      </c>
      <c r="C141" s="6">
        <v>90000</v>
      </c>
      <c r="D141" s="6">
        <v>2</v>
      </c>
      <c r="E141" s="6">
        <v>6</v>
      </c>
      <c r="F141" s="6">
        <v>3</v>
      </c>
      <c r="G141" s="6" t="s">
        <v>36</v>
      </c>
      <c r="H141" s="6" t="s">
        <v>40</v>
      </c>
      <c r="I141" s="6" t="s">
        <v>46</v>
      </c>
      <c r="J141" s="21" t="s">
        <v>180</v>
      </c>
      <c r="K141" s="21">
        <v>1</v>
      </c>
      <c r="L141" s="21">
        <v>2</v>
      </c>
      <c r="M141" s="21">
        <v>1</v>
      </c>
      <c r="N141" s="21">
        <v>2</v>
      </c>
      <c r="O141" s="21">
        <v>0</v>
      </c>
      <c r="P141" s="21" t="str">
        <f>IF(TeamT[[#This Row],[General]]+TeamT[[#This Row],[Agility]]+TeamT[[#This Row],[Strength]]+TeamT[[#This Row],[Passing]]+TeamT[[#This Row],[Mutation]]&gt;0,IF(TeamT[[#This Row],[General]]=1,"G","")&amp;IF(TeamT[[#This Row],[Agility]]=1,"A","")&amp;IF(TeamT[[#This Row],[Strength]]=1,"S","")&amp;IF(TeamT[[#This Row],[Passing]]=1,"P","")&amp;IF(TeamT[[#This Row],[Mutation]]=1,"M",""),"Star")</f>
        <v>GS</v>
      </c>
      <c r="Q141" s="21" t="str">
        <f>IF(TeamT[[#This Row],[General]]=2,"G","")&amp;IF(TeamT[[#This Row],[Agility]]=2,"A","")&amp;IF(TeamT[[#This Row],[Strength]]=2,"S","")&amp;IF(TeamT[[#This Row],[Passing]]=2,"P","")&amp;IF(TeamT[[#This Row],[Mutation]]=2,"M","")</f>
        <v>AP</v>
      </c>
      <c r="R141" s="212"/>
      <c r="S141" s="21">
        <v>3</v>
      </c>
      <c r="T141" s="21">
        <v>5</v>
      </c>
      <c r="U141" s="21">
        <v>9</v>
      </c>
    </row>
    <row r="142" spans="1:21" x14ac:dyDescent="0.15">
      <c r="A142" s="214" t="s">
        <v>178</v>
      </c>
      <c r="B142" s="6" t="s">
        <v>490</v>
      </c>
      <c r="C142" s="6">
        <v>125000</v>
      </c>
      <c r="D142" s="6">
        <v>2</v>
      </c>
      <c r="E142" s="6">
        <v>3</v>
      </c>
      <c r="F142" s="6">
        <v>5</v>
      </c>
      <c r="G142" s="6" t="s">
        <v>40</v>
      </c>
      <c r="H142" s="6" t="s">
        <v>53</v>
      </c>
      <c r="I142" s="6" t="s">
        <v>41</v>
      </c>
      <c r="J142" s="21" t="s">
        <v>181</v>
      </c>
      <c r="K142" s="21">
        <v>2</v>
      </c>
      <c r="L142" s="21">
        <v>2</v>
      </c>
      <c r="M142" s="21">
        <v>1</v>
      </c>
      <c r="N142" s="21">
        <v>0</v>
      </c>
      <c r="O142" s="21">
        <v>0</v>
      </c>
      <c r="P142" s="21" t="str">
        <f>IF(TeamT[[#This Row],[General]]+TeamT[[#This Row],[Agility]]+TeamT[[#This Row],[Strength]]+TeamT[[#This Row],[Passing]]+TeamT[[#This Row],[Mutation]]&gt;0,IF(TeamT[[#This Row],[General]]=1,"G","")&amp;IF(TeamT[[#This Row],[Agility]]=1,"A","")&amp;IF(TeamT[[#This Row],[Strength]]=1,"S","")&amp;IF(TeamT[[#This Row],[Passing]]=1,"P","")&amp;IF(TeamT[[#This Row],[Mutation]]=1,"M",""),"Star")</f>
        <v>S</v>
      </c>
      <c r="Q142" s="21" t="str">
        <f>IF(TeamT[[#This Row],[General]]=2,"G","")&amp;IF(TeamT[[#This Row],[Agility]]=2,"A","")&amp;IF(TeamT[[#This Row],[Strength]]=2,"S","")&amp;IF(TeamT[[#This Row],[Passing]]=2,"P","")&amp;IF(TeamT[[#This Row],[Mutation]]=2,"M","")</f>
        <v>GA</v>
      </c>
      <c r="R142" s="212"/>
      <c r="S142" s="21">
        <v>5</v>
      </c>
      <c r="T142" s="21" t="s">
        <v>53</v>
      </c>
      <c r="U142" s="21">
        <v>10</v>
      </c>
    </row>
    <row r="143" spans="1:21" x14ac:dyDescent="0.15">
      <c r="A143" s="214" t="s">
        <v>547</v>
      </c>
      <c r="B143" s="6" t="s">
        <v>490</v>
      </c>
      <c r="C143" s="6">
        <v>40000</v>
      </c>
      <c r="D143" s="6">
        <v>11</v>
      </c>
      <c r="E143" s="6">
        <v>4</v>
      </c>
      <c r="F143" s="6">
        <v>3</v>
      </c>
      <c r="G143" s="6" t="s">
        <v>37</v>
      </c>
      <c r="H143" s="6" t="s">
        <v>53</v>
      </c>
      <c r="I143" s="6" t="s">
        <v>46</v>
      </c>
      <c r="J143" s="21" t="s">
        <v>138</v>
      </c>
      <c r="K143" s="21">
        <v>1</v>
      </c>
      <c r="L143" s="21">
        <v>2</v>
      </c>
      <c r="M143" s="21">
        <v>2</v>
      </c>
      <c r="N143" s="21">
        <v>0</v>
      </c>
      <c r="O143" s="21">
        <v>0</v>
      </c>
      <c r="P143" s="21" t="str">
        <f>IF(TeamT[[#This Row],[General]]+TeamT[[#This Row],[Agility]]+TeamT[[#This Row],[Strength]]+TeamT[[#This Row],[Passing]]+TeamT[[#This Row],[Mutation]]&gt;0,IF(TeamT[[#This Row],[General]]=1,"G","")&amp;IF(TeamT[[#This Row],[Agility]]=1,"A","")&amp;IF(TeamT[[#This Row],[Strength]]=1,"S","")&amp;IF(TeamT[[#This Row],[Passing]]=1,"P","")&amp;IF(TeamT[[#This Row],[Mutation]]=1,"M",""),"Star")</f>
        <v>G</v>
      </c>
      <c r="Q143" s="21" t="str">
        <f>IF(TeamT[[#This Row],[General]]=2,"G","")&amp;IF(TeamT[[#This Row],[Agility]]=2,"A","")&amp;IF(TeamT[[#This Row],[Strength]]=2,"S","")&amp;IF(TeamT[[#This Row],[Passing]]=2,"P","")&amp;IF(TeamT[[#This Row],[Mutation]]=2,"M","")</f>
        <v>AS</v>
      </c>
      <c r="R143" s="212"/>
      <c r="S143" s="21">
        <v>4</v>
      </c>
      <c r="T143" s="21" t="s">
        <v>53</v>
      </c>
      <c r="U143" s="21">
        <v>9</v>
      </c>
    </row>
    <row r="144" spans="1:21" x14ac:dyDescent="0.15">
      <c r="A144" s="214" t="s">
        <v>748</v>
      </c>
      <c r="B144" s="6" t="s">
        <v>752</v>
      </c>
      <c r="C144" s="6">
        <v>45000</v>
      </c>
      <c r="D144" s="6">
        <v>12</v>
      </c>
      <c r="E144" s="6">
        <v>6</v>
      </c>
      <c r="F144" s="6">
        <v>3</v>
      </c>
      <c r="G144" s="6" t="s">
        <v>36</v>
      </c>
      <c r="H144" s="6" t="s">
        <v>37</v>
      </c>
      <c r="I144" s="6" t="s">
        <v>38</v>
      </c>
      <c r="J144" s="21" t="s">
        <v>242</v>
      </c>
      <c r="K144" s="21">
        <v>1</v>
      </c>
      <c r="L144" s="21">
        <v>2</v>
      </c>
      <c r="M144" s="21">
        <v>2</v>
      </c>
      <c r="N144" s="21">
        <v>0</v>
      </c>
      <c r="O144" s="21">
        <v>0</v>
      </c>
      <c r="P144" s="23" t="str">
        <f>IF(TeamT[[#This Row],[General]]+TeamT[[#This Row],[Agility]]+TeamT[[#This Row],[Strength]]+TeamT[[#This Row],[Passing]]+TeamT[[#This Row],[Mutation]]&gt;0,IF(TeamT[[#This Row],[General]]=1,"G","")&amp;IF(TeamT[[#This Row],[Agility]]=1,"A","")&amp;IF(TeamT[[#This Row],[Strength]]=1,"S","")&amp;IF(TeamT[[#This Row],[Passing]]=1,"P","")&amp;IF(TeamT[[#This Row],[Mutation]]=1,"M",""),"Star")</f>
        <v>G</v>
      </c>
      <c r="Q144" s="23" t="str">
        <f>IF(TeamT[[#This Row],[General]]=2,"G","")&amp;IF(TeamT[[#This Row],[Agility]]=2,"A","")&amp;IF(TeamT[[#This Row],[Strength]]=2,"S","")&amp;IF(TeamT[[#This Row],[Passing]]=2,"P","")&amp;IF(TeamT[[#This Row],[Mutation]]=2,"M","")</f>
        <v>AS</v>
      </c>
      <c r="R144" s="212"/>
      <c r="S144" s="21">
        <v>3</v>
      </c>
      <c r="T144" s="21">
        <v>4</v>
      </c>
      <c r="U144" s="21">
        <v>8</v>
      </c>
    </row>
    <row r="145" spans="1:21" x14ac:dyDescent="0.15">
      <c r="A145" s="214" t="s">
        <v>749</v>
      </c>
      <c r="B145" s="6" t="s">
        <v>752</v>
      </c>
      <c r="C145" s="6">
        <v>70000</v>
      </c>
      <c r="D145" s="6">
        <v>2</v>
      </c>
      <c r="E145" s="6">
        <v>5</v>
      </c>
      <c r="F145" s="6">
        <v>3</v>
      </c>
      <c r="G145" s="6" t="s">
        <v>36</v>
      </c>
      <c r="H145" s="6" t="s">
        <v>59</v>
      </c>
      <c r="I145" s="6" t="s">
        <v>46</v>
      </c>
      <c r="J145" s="21" t="s">
        <v>242</v>
      </c>
      <c r="K145" s="21">
        <v>1</v>
      </c>
      <c r="L145" s="21">
        <v>2</v>
      </c>
      <c r="M145" s="21">
        <v>2</v>
      </c>
      <c r="N145" s="21">
        <v>1</v>
      </c>
      <c r="O145" s="21">
        <v>0</v>
      </c>
      <c r="P145" s="23" t="str">
        <f>IF(TeamT[[#This Row],[General]]+TeamT[[#This Row],[Agility]]+TeamT[[#This Row],[Strength]]+TeamT[[#This Row],[Passing]]+TeamT[[#This Row],[Mutation]]&gt;0,IF(TeamT[[#This Row],[General]]=1,"G","")&amp;IF(TeamT[[#This Row],[Agility]]=1,"A","")&amp;IF(TeamT[[#This Row],[Strength]]=1,"S","")&amp;IF(TeamT[[#This Row],[Passing]]=1,"P","")&amp;IF(TeamT[[#This Row],[Mutation]]=1,"M",""),"Star")</f>
        <v>GP</v>
      </c>
      <c r="Q145" s="23" t="str">
        <f>IF(TeamT[[#This Row],[General]]=2,"G","")&amp;IF(TeamT[[#This Row],[Agility]]=2,"A","")&amp;IF(TeamT[[#This Row],[Strength]]=2,"S","")&amp;IF(TeamT[[#This Row],[Passing]]=2,"P","")&amp;IF(TeamT[[#This Row],[Mutation]]=2,"M","")</f>
        <v>AS</v>
      </c>
      <c r="R145" s="212"/>
      <c r="S145" s="21">
        <v>3</v>
      </c>
      <c r="T145" s="21">
        <v>2</v>
      </c>
      <c r="U145" s="21">
        <v>9</v>
      </c>
    </row>
    <row r="146" spans="1:21" x14ac:dyDescent="0.15">
      <c r="A146" s="214" t="s">
        <v>750</v>
      </c>
      <c r="B146" s="6" t="s">
        <v>752</v>
      </c>
      <c r="C146" s="6">
        <v>80000</v>
      </c>
      <c r="D146" s="6">
        <v>2</v>
      </c>
      <c r="E146" s="6">
        <v>7</v>
      </c>
      <c r="F146" s="6">
        <v>3</v>
      </c>
      <c r="G146" s="6" t="s">
        <v>36</v>
      </c>
      <c r="H146" s="6" t="s">
        <v>37</v>
      </c>
      <c r="I146" s="6" t="s">
        <v>38</v>
      </c>
      <c r="J146" s="21" t="s">
        <v>756</v>
      </c>
      <c r="K146" s="21">
        <v>1</v>
      </c>
      <c r="L146" s="21">
        <v>1</v>
      </c>
      <c r="M146" s="21">
        <v>2</v>
      </c>
      <c r="N146" s="21">
        <v>0</v>
      </c>
      <c r="O146" s="21">
        <v>0</v>
      </c>
      <c r="P146" s="23" t="str">
        <f>IF(TeamT[[#This Row],[General]]+TeamT[[#This Row],[Agility]]+TeamT[[#This Row],[Strength]]+TeamT[[#This Row],[Passing]]+TeamT[[#This Row],[Mutation]]&gt;0,IF(TeamT[[#This Row],[General]]=1,"G","")&amp;IF(TeamT[[#This Row],[Agility]]=1,"A","")&amp;IF(TeamT[[#This Row],[Strength]]=1,"S","")&amp;IF(TeamT[[#This Row],[Passing]]=1,"P","")&amp;IF(TeamT[[#This Row],[Mutation]]=1,"M",""),"Star")</f>
        <v>GA</v>
      </c>
      <c r="Q146" s="23" t="str">
        <f>IF(TeamT[[#This Row],[General]]=2,"G","")&amp;IF(TeamT[[#This Row],[Agility]]=2,"A","")&amp;IF(TeamT[[#This Row],[Strength]]=2,"S","")&amp;IF(TeamT[[#This Row],[Passing]]=2,"P","")&amp;IF(TeamT[[#This Row],[Mutation]]=2,"M","")</f>
        <v>S</v>
      </c>
      <c r="R146" s="212"/>
      <c r="S146" s="21">
        <v>3</v>
      </c>
      <c r="T146" s="21">
        <v>4</v>
      </c>
      <c r="U146" s="21">
        <v>8</v>
      </c>
    </row>
    <row r="147" spans="1:21" x14ac:dyDescent="0.15">
      <c r="A147" s="214" t="s">
        <v>753</v>
      </c>
      <c r="B147" s="6" t="s">
        <v>752</v>
      </c>
      <c r="C147" s="6">
        <v>100000</v>
      </c>
      <c r="D147" s="6">
        <v>4</v>
      </c>
      <c r="E147" s="6">
        <v>5</v>
      </c>
      <c r="F147" s="6">
        <v>4</v>
      </c>
      <c r="G147" s="6" t="s">
        <v>37</v>
      </c>
      <c r="H147" s="6" t="s">
        <v>40</v>
      </c>
      <c r="I147" s="6" t="s">
        <v>46</v>
      </c>
      <c r="J147" s="21" t="s">
        <v>758</v>
      </c>
      <c r="K147" s="21">
        <v>2</v>
      </c>
      <c r="L147" s="21">
        <v>1</v>
      </c>
      <c r="M147" s="21">
        <v>1</v>
      </c>
      <c r="N147" s="21">
        <v>0</v>
      </c>
      <c r="O147" s="21">
        <v>0</v>
      </c>
      <c r="P147" s="23" t="str">
        <f>IF(TeamT[[#This Row],[General]]+TeamT[[#This Row],[Agility]]+TeamT[[#This Row],[Strength]]+TeamT[[#This Row],[Passing]]+TeamT[[#This Row],[Mutation]]&gt;0,IF(TeamT[[#This Row],[General]]=1,"G","")&amp;IF(TeamT[[#This Row],[Agility]]=1,"A","")&amp;IF(TeamT[[#This Row],[Strength]]=1,"S","")&amp;IF(TeamT[[#This Row],[Passing]]=1,"P","")&amp;IF(TeamT[[#This Row],[Mutation]]=1,"M",""),"Star")</f>
        <v>AS</v>
      </c>
      <c r="Q147" s="23" t="str">
        <f>IF(TeamT[[#This Row],[General]]=2,"G","")&amp;IF(TeamT[[#This Row],[Agility]]=2,"A","")&amp;IF(TeamT[[#This Row],[Strength]]=2,"S","")&amp;IF(TeamT[[#This Row],[Passing]]=2,"P","")&amp;IF(TeamT[[#This Row],[Mutation]]=2,"M","")</f>
        <v>G</v>
      </c>
      <c r="R147" s="212"/>
      <c r="S147" s="21">
        <v>4</v>
      </c>
      <c r="T147" s="21">
        <v>5</v>
      </c>
      <c r="U147" s="21">
        <v>9</v>
      </c>
    </row>
    <row r="148" spans="1:21" x14ac:dyDescent="0.15">
      <c r="A148" s="214" t="s">
        <v>754</v>
      </c>
      <c r="B148" s="6" t="s">
        <v>752</v>
      </c>
      <c r="C148" s="6">
        <v>140000</v>
      </c>
      <c r="D148" s="6">
        <v>1</v>
      </c>
      <c r="E148" s="6">
        <v>5</v>
      </c>
      <c r="F148" s="6">
        <v>5</v>
      </c>
      <c r="G148" s="6" t="s">
        <v>37</v>
      </c>
      <c r="H148" s="6" t="s">
        <v>53</v>
      </c>
      <c r="I148" s="6" t="s">
        <v>41</v>
      </c>
      <c r="J148" s="21" t="s">
        <v>759</v>
      </c>
      <c r="K148" s="21">
        <v>2</v>
      </c>
      <c r="L148" s="21">
        <v>2</v>
      </c>
      <c r="M148" s="21">
        <v>1</v>
      </c>
      <c r="N148" s="21">
        <v>0</v>
      </c>
      <c r="O148" s="21">
        <v>0</v>
      </c>
      <c r="P148" s="23" t="str">
        <f>IF(TeamT[[#This Row],[General]]+TeamT[[#This Row],[Agility]]+TeamT[[#This Row],[Strength]]+TeamT[[#This Row],[Passing]]+TeamT[[#This Row],[Mutation]]&gt;0,IF(TeamT[[#This Row],[General]]=1,"G","")&amp;IF(TeamT[[#This Row],[Agility]]=1,"A","")&amp;IF(TeamT[[#This Row],[Strength]]=1,"S","")&amp;IF(TeamT[[#This Row],[Passing]]=1,"P","")&amp;IF(TeamT[[#This Row],[Mutation]]=1,"M",""),"Star")</f>
        <v>S</v>
      </c>
      <c r="Q148" s="23" t="str">
        <f>IF(TeamT[[#This Row],[General]]=2,"G","")&amp;IF(TeamT[[#This Row],[Agility]]=2,"A","")&amp;IF(TeamT[[#This Row],[Strength]]=2,"S","")&amp;IF(TeamT[[#This Row],[Passing]]=2,"P","")&amp;IF(TeamT[[#This Row],[Mutation]]=2,"M","")</f>
        <v>GA</v>
      </c>
      <c r="R148" s="212"/>
      <c r="S148" s="21">
        <v>4</v>
      </c>
      <c r="T148" s="21" t="s">
        <v>53</v>
      </c>
      <c r="U148" s="21">
        <v>10</v>
      </c>
    </row>
    <row r="149" spans="1:21" x14ac:dyDescent="0.15">
      <c r="A149" s="214" t="s">
        <v>755</v>
      </c>
      <c r="B149" s="6" t="s">
        <v>752</v>
      </c>
      <c r="C149" s="6">
        <v>45000</v>
      </c>
      <c r="D149" s="6">
        <v>11</v>
      </c>
      <c r="E149" s="6">
        <v>6</v>
      </c>
      <c r="F149" s="6">
        <v>3</v>
      </c>
      <c r="G149" s="6" t="s">
        <v>36</v>
      </c>
      <c r="H149" s="6" t="s">
        <v>37</v>
      </c>
      <c r="I149" s="6" t="s">
        <v>38</v>
      </c>
      <c r="J149" s="21" t="s">
        <v>760</v>
      </c>
      <c r="K149" s="21">
        <v>1</v>
      </c>
      <c r="L149" s="21">
        <v>2</v>
      </c>
      <c r="M149" s="21">
        <v>2</v>
      </c>
      <c r="N149" s="21">
        <v>0</v>
      </c>
      <c r="O149" s="21">
        <v>0</v>
      </c>
      <c r="P149" s="23" t="str">
        <f>IF(TeamT[[#This Row],[General]]+TeamT[[#This Row],[Agility]]+TeamT[[#This Row],[Strength]]+TeamT[[#This Row],[Passing]]+TeamT[[#This Row],[Mutation]]&gt;0,IF(TeamT[[#This Row],[General]]=1,"G","")&amp;IF(TeamT[[#This Row],[Agility]]=1,"A","")&amp;IF(TeamT[[#This Row],[Strength]]=1,"S","")&amp;IF(TeamT[[#This Row],[Passing]]=1,"P","")&amp;IF(TeamT[[#This Row],[Mutation]]=1,"M",""),"Star")</f>
        <v>G</v>
      </c>
      <c r="Q149" s="23" t="str">
        <f>IF(TeamT[[#This Row],[General]]=2,"G","")&amp;IF(TeamT[[#This Row],[Agility]]=2,"A","")&amp;IF(TeamT[[#This Row],[Strength]]=2,"S","")&amp;IF(TeamT[[#This Row],[Passing]]=2,"P","")&amp;IF(TeamT[[#This Row],[Mutation]]=2,"M","")</f>
        <v>AS</v>
      </c>
      <c r="R149" s="212"/>
      <c r="S149" s="21">
        <v>3</v>
      </c>
      <c r="T149" s="21">
        <v>4</v>
      </c>
      <c r="U149" s="21">
        <v>8</v>
      </c>
    </row>
    <row r="150" spans="1:21" x14ac:dyDescent="0.15">
      <c r="A150" s="214" t="s">
        <v>505</v>
      </c>
      <c r="B150" s="6" t="s">
        <v>26</v>
      </c>
      <c r="C150" s="6">
        <v>50000</v>
      </c>
      <c r="D150" s="6">
        <v>16</v>
      </c>
      <c r="E150" s="6">
        <v>7</v>
      </c>
      <c r="F150" s="6">
        <v>3</v>
      </c>
      <c r="G150" s="6" t="s">
        <v>36</v>
      </c>
      <c r="H150" s="6" t="s">
        <v>37</v>
      </c>
      <c r="I150" s="6" t="s">
        <v>38</v>
      </c>
      <c r="J150" s="21"/>
      <c r="K150" s="21">
        <v>1</v>
      </c>
      <c r="L150" s="21">
        <v>2</v>
      </c>
      <c r="M150" s="21">
        <v>2</v>
      </c>
      <c r="N150" s="21">
        <v>0</v>
      </c>
      <c r="O150" s="21">
        <v>2</v>
      </c>
      <c r="P150" s="21" t="str">
        <f>IF(TeamT[[#This Row],[General]]+TeamT[[#This Row],[Agility]]+TeamT[[#This Row],[Strength]]+TeamT[[#This Row],[Passing]]+TeamT[[#This Row],[Mutation]]&gt;0,IF(TeamT[[#This Row],[General]]=1,"G","")&amp;IF(TeamT[[#This Row],[Agility]]=1,"A","")&amp;IF(TeamT[[#This Row],[Strength]]=1,"S","")&amp;IF(TeamT[[#This Row],[Passing]]=1,"P","")&amp;IF(TeamT[[#This Row],[Mutation]]=1,"M",""),"Star")</f>
        <v>G</v>
      </c>
      <c r="Q150" s="21" t="str">
        <f>IF(TeamT[[#This Row],[General]]=2,"G","")&amp;IF(TeamT[[#This Row],[Agility]]=2,"A","")&amp;IF(TeamT[[#This Row],[Strength]]=2,"S","")&amp;IF(TeamT[[#This Row],[Passing]]=2,"P","")&amp;IF(TeamT[[#This Row],[Mutation]]=2,"M","")</f>
        <v>ASM</v>
      </c>
      <c r="R150" s="212"/>
      <c r="S150" s="21">
        <v>3</v>
      </c>
      <c r="T150" s="21">
        <v>4</v>
      </c>
      <c r="U150" s="21">
        <v>8</v>
      </c>
    </row>
    <row r="151" spans="1:21" x14ac:dyDescent="0.15">
      <c r="A151" s="214" t="s">
        <v>182</v>
      </c>
      <c r="B151" s="6" t="s">
        <v>26</v>
      </c>
      <c r="C151" s="6">
        <v>85000</v>
      </c>
      <c r="D151" s="6">
        <v>2</v>
      </c>
      <c r="E151" s="6">
        <v>7</v>
      </c>
      <c r="F151" s="6">
        <v>3</v>
      </c>
      <c r="G151" s="6" t="s">
        <v>36</v>
      </c>
      <c r="H151" s="6" t="s">
        <v>59</v>
      </c>
      <c r="I151" s="6" t="s">
        <v>38</v>
      </c>
      <c r="J151" s="21" t="s">
        <v>113</v>
      </c>
      <c r="K151" s="21">
        <v>1</v>
      </c>
      <c r="L151" s="21">
        <v>2</v>
      </c>
      <c r="M151" s="21">
        <v>2</v>
      </c>
      <c r="N151" s="21">
        <v>1</v>
      </c>
      <c r="O151" s="21">
        <v>2</v>
      </c>
      <c r="P151" s="21" t="str">
        <f>IF(TeamT[[#This Row],[General]]+TeamT[[#This Row],[Agility]]+TeamT[[#This Row],[Strength]]+TeamT[[#This Row],[Passing]]+TeamT[[#This Row],[Mutation]]&gt;0,IF(TeamT[[#This Row],[General]]=1,"G","")&amp;IF(TeamT[[#This Row],[Agility]]=1,"A","")&amp;IF(TeamT[[#This Row],[Strength]]=1,"S","")&amp;IF(TeamT[[#This Row],[Passing]]=1,"P","")&amp;IF(TeamT[[#This Row],[Mutation]]=1,"M",""),"Star")</f>
        <v>GP</v>
      </c>
      <c r="Q151" s="21" t="str">
        <f>IF(TeamT[[#This Row],[General]]=2,"G","")&amp;IF(TeamT[[#This Row],[Agility]]=2,"A","")&amp;IF(TeamT[[#This Row],[Strength]]=2,"S","")&amp;IF(TeamT[[#This Row],[Passing]]=2,"P","")&amp;IF(TeamT[[#This Row],[Mutation]]=2,"M","")</f>
        <v>ASM</v>
      </c>
      <c r="R151" s="212"/>
      <c r="S151" s="21">
        <v>3</v>
      </c>
      <c r="T151" s="21">
        <v>2</v>
      </c>
      <c r="U151" s="21">
        <v>8</v>
      </c>
    </row>
    <row r="152" spans="1:21" x14ac:dyDescent="0.15">
      <c r="A152" s="214" t="s">
        <v>184</v>
      </c>
      <c r="B152" s="6" t="s">
        <v>26</v>
      </c>
      <c r="C152" s="6">
        <v>85000</v>
      </c>
      <c r="D152" s="6">
        <v>4</v>
      </c>
      <c r="E152" s="6">
        <v>9</v>
      </c>
      <c r="F152" s="6">
        <v>2</v>
      </c>
      <c r="G152" s="6" t="s">
        <v>59</v>
      </c>
      <c r="H152" s="6" t="s">
        <v>37</v>
      </c>
      <c r="I152" s="6" t="s">
        <v>38</v>
      </c>
      <c r="J152" s="21" t="s">
        <v>134</v>
      </c>
      <c r="K152" s="21">
        <v>1</v>
      </c>
      <c r="L152" s="21">
        <v>1</v>
      </c>
      <c r="M152" s="21">
        <v>2</v>
      </c>
      <c r="N152" s="21">
        <v>2</v>
      </c>
      <c r="O152" s="21">
        <v>2</v>
      </c>
      <c r="P152" s="21" t="str">
        <f>IF(TeamT[[#This Row],[General]]+TeamT[[#This Row],[Agility]]+TeamT[[#This Row],[Strength]]+TeamT[[#This Row],[Passing]]+TeamT[[#This Row],[Mutation]]&gt;0,IF(TeamT[[#This Row],[General]]=1,"G","")&amp;IF(TeamT[[#This Row],[Agility]]=1,"A","")&amp;IF(TeamT[[#This Row],[Strength]]=1,"S","")&amp;IF(TeamT[[#This Row],[Passing]]=1,"P","")&amp;IF(TeamT[[#This Row],[Mutation]]=1,"M",""),"Star")</f>
        <v>GA</v>
      </c>
      <c r="Q152" s="21" t="str">
        <f>IF(TeamT[[#This Row],[General]]=2,"G","")&amp;IF(TeamT[[#This Row],[Agility]]=2,"A","")&amp;IF(TeamT[[#This Row],[Strength]]=2,"S","")&amp;IF(TeamT[[#This Row],[Passing]]=2,"P","")&amp;IF(TeamT[[#This Row],[Mutation]]=2,"M","")</f>
        <v>SPM</v>
      </c>
      <c r="R152" s="212"/>
      <c r="S152" s="21">
        <v>2</v>
      </c>
      <c r="T152" s="21">
        <v>4</v>
      </c>
      <c r="U152" s="21">
        <v>8</v>
      </c>
    </row>
    <row r="153" spans="1:21" x14ac:dyDescent="0.15">
      <c r="A153" s="214" t="s">
        <v>183</v>
      </c>
      <c r="B153" s="6" t="s">
        <v>26</v>
      </c>
      <c r="C153" s="6">
        <v>90000</v>
      </c>
      <c r="D153" s="6">
        <v>2</v>
      </c>
      <c r="E153" s="6">
        <v>7</v>
      </c>
      <c r="F153" s="6">
        <v>3</v>
      </c>
      <c r="G153" s="6" t="s">
        <v>36</v>
      </c>
      <c r="H153" s="6" t="s">
        <v>40</v>
      </c>
      <c r="I153" s="6" t="s">
        <v>46</v>
      </c>
      <c r="J153" s="21" t="s">
        <v>70</v>
      </c>
      <c r="K153" s="21">
        <v>1</v>
      </c>
      <c r="L153" s="21">
        <v>2</v>
      </c>
      <c r="M153" s="21">
        <v>1</v>
      </c>
      <c r="N153" s="21">
        <v>2</v>
      </c>
      <c r="O153" s="21">
        <v>2</v>
      </c>
      <c r="P153" s="21" t="str">
        <f>IF(TeamT[[#This Row],[General]]+TeamT[[#This Row],[Agility]]+TeamT[[#This Row],[Strength]]+TeamT[[#This Row],[Passing]]+TeamT[[#This Row],[Mutation]]&gt;0,IF(TeamT[[#This Row],[General]]=1,"G","")&amp;IF(TeamT[[#This Row],[Agility]]=1,"A","")&amp;IF(TeamT[[#This Row],[Strength]]=1,"S","")&amp;IF(TeamT[[#This Row],[Passing]]=1,"P","")&amp;IF(TeamT[[#This Row],[Mutation]]=1,"M",""),"Star")</f>
        <v>GS</v>
      </c>
      <c r="Q153" s="21" t="str">
        <f>IF(TeamT[[#This Row],[General]]=2,"G","")&amp;IF(TeamT[[#This Row],[Agility]]=2,"A","")&amp;IF(TeamT[[#This Row],[Strength]]=2,"S","")&amp;IF(TeamT[[#This Row],[Passing]]=2,"P","")&amp;IF(TeamT[[#This Row],[Mutation]]=2,"M","")</f>
        <v>APM</v>
      </c>
      <c r="R153" s="212"/>
      <c r="S153" s="21">
        <v>3</v>
      </c>
      <c r="T153" s="21">
        <v>5</v>
      </c>
      <c r="U153" s="21">
        <v>9</v>
      </c>
    </row>
    <row r="154" spans="1:21" x14ac:dyDescent="0.15">
      <c r="A154" s="214" t="s">
        <v>185</v>
      </c>
      <c r="B154" s="6" t="s">
        <v>26</v>
      </c>
      <c r="C154" s="6">
        <v>150000</v>
      </c>
      <c r="D154" s="6">
        <v>1</v>
      </c>
      <c r="E154" s="6">
        <v>6</v>
      </c>
      <c r="F154" s="6">
        <v>5</v>
      </c>
      <c r="G154" s="6" t="s">
        <v>37</v>
      </c>
      <c r="H154" s="6" t="s">
        <v>53</v>
      </c>
      <c r="I154" s="6" t="s">
        <v>46</v>
      </c>
      <c r="J154" s="21" t="s">
        <v>64</v>
      </c>
      <c r="K154" s="21">
        <v>2</v>
      </c>
      <c r="L154" s="21">
        <v>2</v>
      </c>
      <c r="M154" s="21">
        <v>1</v>
      </c>
      <c r="N154" s="21">
        <v>0</v>
      </c>
      <c r="O154" s="21">
        <v>2</v>
      </c>
      <c r="P154" s="21" t="str">
        <f>IF(TeamT[[#This Row],[General]]+TeamT[[#This Row],[Agility]]+TeamT[[#This Row],[Strength]]+TeamT[[#This Row],[Passing]]+TeamT[[#This Row],[Mutation]]&gt;0,IF(TeamT[[#This Row],[General]]=1,"G","")&amp;IF(TeamT[[#This Row],[Agility]]=1,"A","")&amp;IF(TeamT[[#This Row],[Strength]]=1,"S","")&amp;IF(TeamT[[#This Row],[Passing]]=1,"P","")&amp;IF(TeamT[[#This Row],[Mutation]]=1,"M",""),"Star")</f>
        <v>S</v>
      </c>
      <c r="Q154" s="21" t="str">
        <f>IF(TeamT[[#This Row],[General]]=2,"G","")&amp;IF(TeamT[[#This Row],[Agility]]=2,"A","")&amp;IF(TeamT[[#This Row],[Strength]]=2,"S","")&amp;IF(TeamT[[#This Row],[Passing]]=2,"P","")&amp;IF(TeamT[[#This Row],[Mutation]]=2,"M","")</f>
        <v>GAM</v>
      </c>
      <c r="R154" s="212"/>
      <c r="S154" s="21">
        <v>4</v>
      </c>
      <c r="T154" s="21" t="s">
        <v>53</v>
      </c>
      <c r="U154" s="21">
        <v>9</v>
      </c>
    </row>
    <row r="155" spans="1:21" x14ac:dyDescent="0.15">
      <c r="A155" s="214" t="s">
        <v>552</v>
      </c>
      <c r="B155" s="6" t="s">
        <v>26</v>
      </c>
      <c r="C155" s="6">
        <v>50000</v>
      </c>
      <c r="D155" s="6">
        <v>11</v>
      </c>
      <c r="E155" s="6">
        <v>7</v>
      </c>
      <c r="F155" s="6">
        <v>3</v>
      </c>
      <c r="G155" s="6" t="s">
        <v>36</v>
      </c>
      <c r="H155" s="6" t="s">
        <v>37</v>
      </c>
      <c r="I155" s="6" t="s">
        <v>38</v>
      </c>
      <c r="J155" s="21" t="s">
        <v>65</v>
      </c>
      <c r="K155" s="21">
        <v>1</v>
      </c>
      <c r="L155" s="21">
        <v>2</v>
      </c>
      <c r="M155" s="21">
        <v>2</v>
      </c>
      <c r="N155" s="21">
        <v>0</v>
      </c>
      <c r="O155" s="21">
        <v>2</v>
      </c>
      <c r="P155" s="21" t="str">
        <f>IF(TeamT[[#This Row],[General]]+TeamT[[#This Row],[Agility]]+TeamT[[#This Row],[Strength]]+TeamT[[#This Row],[Passing]]+TeamT[[#This Row],[Mutation]]&gt;0,IF(TeamT[[#This Row],[General]]=1,"G","")&amp;IF(TeamT[[#This Row],[Agility]]=1,"A","")&amp;IF(TeamT[[#This Row],[Strength]]=1,"S","")&amp;IF(TeamT[[#This Row],[Passing]]=1,"P","")&amp;IF(TeamT[[#This Row],[Mutation]]=1,"M",""),"Star")</f>
        <v>G</v>
      </c>
      <c r="Q155" s="21" t="str">
        <f>IF(TeamT[[#This Row],[General]]=2,"G","")&amp;IF(TeamT[[#This Row],[Agility]]=2,"A","")&amp;IF(TeamT[[#This Row],[Strength]]=2,"S","")&amp;IF(TeamT[[#This Row],[Passing]]=2,"P","")&amp;IF(TeamT[[#This Row],[Mutation]]=2,"M","")</f>
        <v>ASM</v>
      </c>
      <c r="R155" s="212"/>
      <c r="S155" s="21">
        <v>3</v>
      </c>
      <c r="T155" s="21">
        <v>4</v>
      </c>
      <c r="U155" s="21">
        <v>8</v>
      </c>
    </row>
    <row r="156" spans="1:21" x14ac:dyDescent="0.15">
      <c r="A156" s="104" t="s">
        <v>656</v>
      </c>
      <c r="B156" s="6" t="s">
        <v>655</v>
      </c>
      <c r="C156" s="6">
        <v>60000</v>
      </c>
      <c r="D156" s="6">
        <v>16</v>
      </c>
      <c r="E156" s="6">
        <v>6</v>
      </c>
      <c r="F156" s="6">
        <v>3</v>
      </c>
      <c r="G156" s="6" t="s">
        <v>36</v>
      </c>
      <c r="H156" s="6" t="s">
        <v>37</v>
      </c>
      <c r="I156" s="6" t="s">
        <v>46</v>
      </c>
      <c r="J156" s="21" t="s">
        <v>693</v>
      </c>
      <c r="K156" s="21">
        <v>1</v>
      </c>
      <c r="L156" s="21">
        <v>2</v>
      </c>
      <c r="M156" s="21">
        <v>2</v>
      </c>
      <c r="N156" s="21">
        <v>2</v>
      </c>
      <c r="O156" s="21">
        <v>0</v>
      </c>
      <c r="P156" s="23" t="str">
        <f>IF(TeamT[[#This Row],[General]]+TeamT[[#This Row],[Agility]]+TeamT[[#This Row],[Strength]]+TeamT[[#This Row],[Passing]]+TeamT[[#This Row],[Mutation]]&gt;0,IF(TeamT[[#This Row],[General]]=1,"G","")&amp;IF(TeamT[[#This Row],[Agility]]=1,"A","")&amp;IF(TeamT[[#This Row],[Strength]]=1,"S","")&amp;IF(TeamT[[#This Row],[Passing]]=1,"P","")&amp;IF(TeamT[[#This Row],[Mutation]]=1,"M",""),"Star")</f>
        <v>G</v>
      </c>
      <c r="Q156" s="23" t="str">
        <f>IF(TeamT[[#This Row],[General]]=2,"G","")&amp;IF(TeamT[[#This Row],[Agility]]=2,"A","")&amp;IF(TeamT[[#This Row],[Strength]]=2,"S","")&amp;IF(TeamT[[#This Row],[Passing]]=2,"P","")&amp;IF(TeamT[[#This Row],[Mutation]]=2,"M","")</f>
        <v>ASP</v>
      </c>
      <c r="R156" s="212"/>
      <c r="S156" s="21">
        <v>3</v>
      </c>
      <c r="T156" s="21">
        <v>4</v>
      </c>
      <c r="U156" s="21">
        <v>9</v>
      </c>
    </row>
    <row r="157" spans="1:21" x14ac:dyDescent="0.15">
      <c r="A157" s="104" t="s">
        <v>657</v>
      </c>
      <c r="B157" s="6" t="s">
        <v>655</v>
      </c>
      <c r="C157" s="6">
        <v>80000</v>
      </c>
      <c r="D157" s="6">
        <v>4</v>
      </c>
      <c r="E157" s="6">
        <v>7</v>
      </c>
      <c r="F157" s="6">
        <v>2</v>
      </c>
      <c r="G157" s="6" t="s">
        <v>59</v>
      </c>
      <c r="H157" s="6" t="s">
        <v>37</v>
      </c>
      <c r="I157" s="6" t="s">
        <v>38</v>
      </c>
      <c r="J157" s="21" t="s">
        <v>694</v>
      </c>
      <c r="K157" s="21">
        <v>1</v>
      </c>
      <c r="L157" s="21">
        <v>1</v>
      </c>
      <c r="M157" s="21">
        <v>2</v>
      </c>
      <c r="N157" s="21">
        <v>2</v>
      </c>
      <c r="O157" s="21">
        <v>0</v>
      </c>
      <c r="P157" s="23" t="str">
        <f>IF(TeamT[[#This Row],[General]]+TeamT[[#This Row],[Agility]]+TeamT[[#This Row],[Strength]]+TeamT[[#This Row],[Passing]]+TeamT[[#This Row],[Mutation]]&gt;0,IF(TeamT[[#This Row],[General]]=1,"G","")&amp;IF(TeamT[[#This Row],[Agility]]=1,"A","")&amp;IF(TeamT[[#This Row],[Strength]]=1,"S","")&amp;IF(TeamT[[#This Row],[Passing]]=1,"P","")&amp;IF(TeamT[[#This Row],[Mutation]]=1,"M",""),"Star")</f>
        <v>GA</v>
      </c>
      <c r="Q157" s="23" t="str">
        <f>IF(TeamT[[#This Row],[General]]=2,"G","")&amp;IF(TeamT[[#This Row],[Agility]]=2,"A","")&amp;IF(TeamT[[#This Row],[Strength]]=2,"S","")&amp;IF(TeamT[[#This Row],[Passing]]=2,"P","")&amp;IF(TeamT[[#This Row],[Mutation]]=2,"M","")</f>
        <v>SP</v>
      </c>
      <c r="R157" s="212"/>
      <c r="S157" s="21">
        <v>2</v>
      </c>
      <c r="T157" s="21">
        <v>4</v>
      </c>
      <c r="U157" s="21">
        <v>8</v>
      </c>
    </row>
    <row r="158" spans="1:21" x14ac:dyDescent="0.15">
      <c r="A158" s="104" t="s">
        <v>658</v>
      </c>
      <c r="B158" s="6" t="s">
        <v>655</v>
      </c>
      <c r="C158" s="6">
        <v>110000</v>
      </c>
      <c r="D158" s="6">
        <v>4</v>
      </c>
      <c r="E158" s="6">
        <v>7</v>
      </c>
      <c r="F158" s="6">
        <v>3</v>
      </c>
      <c r="G158" s="6" t="s">
        <v>36</v>
      </c>
      <c r="H158" s="6" t="s">
        <v>37</v>
      </c>
      <c r="I158" s="6" t="s">
        <v>46</v>
      </c>
      <c r="J158" s="21" t="s">
        <v>695</v>
      </c>
      <c r="K158" s="21">
        <v>1</v>
      </c>
      <c r="L158" s="21">
        <v>1</v>
      </c>
      <c r="M158" s="21">
        <v>1</v>
      </c>
      <c r="N158" s="21">
        <v>2</v>
      </c>
      <c r="O158" s="21">
        <v>0</v>
      </c>
      <c r="P158" s="23" t="str">
        <f>IF(TeamT[[#This Row],[General]]+TeamT[[#This Row],[Agility]]+TeamT[[#This Row],[Strength]]+TeamT[[#This Row],[Passing]]+TeamT[[#This Row],[Mutation]]&gt;0,IF(TeamT[[#This Row],[General]]=1,"G","")&amp;IF(TeamT[[#This Row],[Agility]]=1,"A","")&amp;IF(TeamT[[#This Row],[Strength]]=1,"S","")&amp;IF(TeamT[[#This Row],[Passing]]=1,"P","")&amp;IF(TeamT[[#This Row],[Mutation]]=1,"M",""),"Star")</f>
        <v>GAS</v>
      </c>
      <c r="Q158" s="23" t="str">
        <f>IF(TeamT[[#This Row],[General]]=2,"G","")&amp;IF(TeamT[[#This Row],[Agility]]=2,"A","")&amp;IF(TeamT[[#This Row],[Strength]]=2,"S","")&amp;IF(TeamT[[#This Row],[Passing]]=2,"P","")&amp;IF(TeamT[[#This Row],[Mutation]]=2,"M","")</f>
        <v>P</v>
      </c>
      <c r="R158" s="212"/>
      <c r="S158" s="21">
        <v>3</v>
      </c>
      <c r="T158" s="21">
        <v>4</v>
      </c>
      <c r="U158" s="21">
        <v>9</v>
      </c>
    </row>
    <row r="159" spans="1:21" x14ac:dyDescent="0.15">
      <c r="A159" s="104" t="s">
        <v>659</v>
      </c>
      <c r="B159" s="6" t="s">
        <v>655</v>
      </c>
      <c r="C159" s="6">
        <v>140000</v>
      </c>
      <c r="D159" s="6">
        <v>1</v>
      </c>
      <c r="E159" s="6">
        <v>6</v>
      </c>
      <c r="F159" s="6">
        <v>5</v>
      </c>
      <c r="G159" s="6" t="s">
        <v>40</v>
      </c>
      <c r="H159" s="6" t="s">
        <v>53</v>
      </c>
      <c r="I159" s="6" t="s">
        <v>41</v>
      </c>
      <c r="J159" s="21" t="s">
        <v>127</v>
      </c>
      <c r="K159" s="21">
        <v>2</v>
      </c>
      <c r="L159" s="21">
        <v>2</v>
      </c>
      <c r="M159" s="21">
        <v>1</v>
      </c>
      <c r="N159" s="21">
        <v>2</v>
      </c>
      <c r="O159" s="21">
        <v>0</v>
      </c>
      <c r="P159" s="23" t="str">
        <f>IF(TeamT[[#This Row],[General]]+TeamT[[#This Row],[Agility]]+TeamT[[#This Row],[Strength]]+TeamT[[#This Row],[Passing]]+TeamT[[#This Row],[Mutation]]&gt;0,IF(TeamT[[#This Row],[General]]=1,"G","")&amp;IF(TeamT[[#This Row],[Agility]]=1,"A","")&amp;IF(TeamT[[#This Row],[Strength]]=1,"S","")&amp;IF(TeamT[[#This Row],[Passing]]=1,"P","")&amp;IF(TeamT[[#This Row],[Mutation]]=1,"M",""),"Star")</f>
        <v>S</v>
      </c>
      <c r="Q159" s="23" t="str">
        <f>IF(TeamT[[#This Row],[General]]=2,"G","")&amp;IF(TeamT[[#This Row],[Agility]]=2,"A","")&amp;IF(TeamT[[#This Row],[Strength]]=2,"S","")&amp;IF(TeamT[[#This Row],[Passing]]=2,"P","")&amp;IF(TeamT[[#This Row],[Mutation]]=2,"M","")</f>
        <v>GAP</v>
      </c>
      <c r="R159" s="212"/>
      <c r="S159" s="21">
        <v>5</v>
      </c>
      <c r="T159" s="21" t="s">
        <v>53</v>
      </c>
      <c r="U159" s="21">
        <v>10</v>
      </c>
    </row>
    <row r="160" spans="1:21" x14ac:dyDescent="0.15">
      <c r="A160" s="104" t="s">
        <v>692</v>
      </c>
      <c r="B160" s="6" t="s">
        <v>655</v>
      </c>
      <c r="C160" s="6">
        <v>60000</v>
      </c>
      <c r="D160" s="6">
        <v>11</v>
      </c>
      <c r="E160" s="6">
        <v>6</v>
      </c>
      <c r="F160" s="6">
        <v>3</v>
      </c>
      <c r="G160" s="6" t="s">
        <v>36</v>
      </c>
      <c r="H160" s="6" t="s">
        <v>37</v>
      </c>
      <c r="I160" s="6" t="s">
        <v>46</v>
      </c>
      <c r="J160" s="21" t="s">
        <v>696</v>
      </c>
      <c r="K160" s="21">
        <v>1</v>
      </c>
      <c r="L160" s="21">
        <v>2</v>
      </c>
      <c r="M160" s="21">
        <v>2</v>
      </c>
      <c r="N160" s="21">
        <v>2</v>
      </c>
      <c r="O160" s="21">
        <v>0</v>
      </c>
      <c r="P160" s="23" t="str">
        <f>IF(TeamT[[#This Row],[General]]+TeamT[[#This Row],[Agility]]+TeamT[[#This Row],[Strength]]+TeamT[[#This Row],[Passing]]+TeamT[[#This Row],[Mutation]]&gt;0,IF(TeamT[[#This Row],[General]]=1,"G","")&amp;IF(TeamT[[#This Row],[Agility]]=1,"A","")&amp;IF(TeamT[[#This Row],[Strength]]=1,"S","")&amp;IF(TeamT[[#This Row],[Passing]]=1,"P","")&amp;IF(TeamT[[#This Row],[Mutation]]=1,"M",""),"Star")</f>
        <v>G</v>
      </c>
      <c r="Q160" s="23" t="str">
        <f>IF(TeamT[[#This Row],[General]]=2,"G","")&amp;IF(TeamT[[#This Row],[Agility]]=2,"A","")&amp;IF(TeamT[[#This Row],[Strength]]=2,"S","")&amp;IF(TeamT[[#This Row],[Passing]]=2,"P","")&amp;IF(TeamT[[#This Row],[Mutation]]=2,"M","")</f>
        <v>ASP</v>
      </c>
      <c r="R160" s="212"/>
      <c r="S160" s="21">
        <v>3</v>
      </c>
      <c r="T160" s="21">
        <v>4</v>
      </c>
      <c r="U160" s="21">
        <v>9</v>
      </c>
    </row>
    <row r="161" spans="1:21" x14ac:dyDescent="0.15">
      <c r="A161" s="214" t="s">
        <v>506</v>
      </c>
      <c r="B161" s="6" t="s">
        <v>27</v>
      </c>
      <c r="C161" s="6">
        <v>15000</v>
      </c>
      <c r="D161" s="6">
        <v>16</v>
      </c>
      <c r="E161" s="6">
        <v>5</v>
      </c>
      <c r="F161" s="6">
        <v>1</v>
      </c>
      <c r="G161" s="6" t="s">
        <v>36</v>
      </c>
      <c r="H161" s="6" t="s">
        <v>40</v>
      </c>
      <c r="I161" s="6" t="s">
        <v>96</v>
      </c>
      <c r="J161" s="21" t="s">
        <v>187</v>
      </c>
      <c r="K161" s="21">
        <v>2</v>
      </c>
      <c r="L161" s="21">
        <v>1</v>
      </c>
      <c r="M161" s="21">
        <v>0</v>
      </c>
      <c r="N161" s="21">
        <v>0</v>
      </c>
      <c r="O161" s="21">
        <v>0</v>
      </c>
      <c r="P161" s="21" t="str">
        <f>IF(TeamT[[#This Row],[General]]+TeamT[[#This Row],[Agility]]+TeamT[[#This Row],[Strength]]+TeamT[[#This Row],[Passing]]+TeamT[[#This Row],[Mutation]]&gt;0,IF(TeamT[[#This Row],[General]]=1,"G","")&amp;IF(TeamT[[#This Row],[Agility]]=1,"A","")&amp;IF(TeamT[[#This Row],[Strength]]=1,"S","")&amp;IF(TeamT[[#This Row],[Passing]]=1,"P","")&amp;IF(TeamT[[#This Row],[Mutation]]=1,"M",""),"Star")</f>
        <v>A</v>
      </c>
      <c r="Q161" s="21" t="str">
        <f>IF(TeamT[[#This Row],[General]]=2,"G","")&amp;IF(TeamT[[#This Row],[Agility]]=2,"A","")&amp;IF(TeamT[[#This Row],[Strength]]=2,"S","")&amp;IF(TeamT[[#This Row],[Passing]]=2,"P","")&amp;IF(TeamT[[#This Row],[Mutation]]=2,"M","")</f>
        <v>G</v>
      </c>
      <c r="R161" s="212"/>
      <c r="S161" s="21">
        <v>3</v>
      </c>
      <c r="T161" s="21">
        <v>5</v>
      </c>
      <c r="U161" s="21">
        <v>6</v>
      </c>
    </row>
    <row r="162" spans="1:21" x14ac:dyDescent="0.15">
      <c r="A162" s="214" t="s">
        <v>511</v>
      </c>
      <c r="B162" s="6" t="s">
        <v>27</v>
      </c>
      <c r="C162" s="6">
        <v>30000</v>
      </c>
      <c r="D162" s="6">
        <v>2</v>
      </c>
      <c r="E162" s="6">
        <v>5</v>
      </c>
      <c r="F162" s="6">
        <v>1</v>
      </c>
      <c r="G162" s="6" t="s">
        <v>36</v>
      </c>
      <c r="H162" s="6" t="s">
        <v>37</v>
      </c>
      <c r="I162" s="6" t="s">
        <v>96</v>
      </c>
      <c r="J162" s="21" t="s">
        <v>188</v>
      </c>
      <c r="K162" s="21">
        <v>2</v>
      </c>
      <c r="L162" s="21">
        <v>1</v>
      </c>
      <c r="M162" s="21">
        <v>0</v>
      </c>
      <c r="N162" s="21">
        <v>1</v>
      </c>
      <c r="O162" s="21">
        <v>0</v>
      </c>
      <c r="P162" s="21" t="str">
        <f>IF(TeamT[[#This Row],[General]]+TeamT[[#This Row],[Agility]]+TeamT[[#This Row],[Strength]]+TeamT[[#This Row],[Passing]]+TeamT[[#This Row],[Mutation]]&gt;0,IF(TeamT[[#This Row],[General]]=1,"G","")&amp;IF(TeamT[[#This Row],[Agility]]=1,"A","")&amp;IF(TeamT[[#This Row],[Strength]]=1,"S","")&amp;IF(TeamT[[#This Row],[Passing]]=1,"P","")&amp;IF(TeamT[[#This Row],[Mutation]]=1,"M",""),"Star")</f>
        <v>AP</v>
      </c>
      <c r="Q162" s="21" t="str">
        <f>IF(TeamT[[#This Row],[General]]=2,"G","")&amp;IF(TeamT[[#This Row],[Agility]]=2,"A","")&amp;IF(TeamT[[#This Row],[Strength]]=2,"S","")&amp;IF(TeamT[[#This Row],[Passing]]=2,"P","")&amp;IF(TeamT[[#This Row],[Mutation]]=2,"M","")</f>
        <v>G</v>
      </c>
      <c r="R162" s="212"/>
      <c r="S162" s="21">
        <v>3</v>
      </c>
      <c r="T162" s="21">
        <v>4</v>
      </c>
      <c r="U162" s="21">
        <v>6</v>
      </c>
    </row>
    <row r="163" spans="1:21" x14ac:dyDescent="0.15">
      <c r="A163" s="214" t="s">
        <v>512</v>
      </c>
      <c r="B163" s="6" t="s">
        <v>27</v>
      </c>
      <c r="C163" s="6">
        <v>20000</v>
      </c>
      <c r="D163" s="6">
        <v>2</v>
      </c>
      <c r="E163" s="6">
        <v>6</v>
      </c>
      <c r="F163" s="6">
        <v>1</v>
      </c>
      <c r="G163" s="6" t="s">
        <v>36</v>
      </c>
      <c r="H163" s="6" t="s">
        <v>40</v>
      </c>
      <c r="I163" s="6" t="s">
        <v>96</v>
      </c>
      <c r="J163" s="21" t="s">
        <v>189</v>
      </c>
      <c r="K163" s="21">
        <v>2</v>
      </c>
      <c r="L163" s="21">
        <v>1</v>
      </c>
      <c r="M163" s="21">
        <v>0</v>
      </c>
      <c r="N163" s="21">
        <v>0</v>
      </c>
      <c r="O163" s="21">
        <v>0</v>
      </c>
      <c r="P163" s="21" t="str">
        <f>IF(TeamT[[#This Row],[General]]+TeamT[[#This Row],[Agility]]+TeamT[[#This Row],[Strength]]+TeamT[[#This Row],[Passing]]+TeamT[[#This Row],[Mutation]]&gt;0,IF(TeamT[[#This Row],[General]]=1,"G","")&amp;IF(TeamT[[#This Row],[Agility]]=1,"A","")&amp;IF(TeamT[[#This Row],[Strength]]=1,"S","")&amp;IF(TeamT[[#This Row],[Passing]]=1,"P","")&amp;IF(TeamT[[#This Row],[Mutation]]=1,"M",""),"Star")</f>
        <v>A</v>
      </c>
      <c r="Q163" s="21" t="str">
        <f>IF(TeamT[[#This Row],[General]]=2,"G","")&amp;IF(TeamT[[#This Row],[Agility]]=2,"A","")&amp;IF(TeamT[[#This Row],[Strength]]=2,"S","")&amp;IF(TeamT[[#This Row],[Passing]]=2,"P","")&amp;IF(TeamT[[#This Row],[Mutation]]=2,"M","")</f>
        <v>G</v>
      </c>
      <c r="R163" s="212"/>
      <c r="S163" s="21">
        <v>3</v>
      </c>
      <c r="T163" s="21">
        <v>5</v>
      </c>
      <c r="U163" s="21">
        <v>6</v>
      </c>
    </row>
    <row r="164" spans="1:21" x14ac:dyDescent="0.15">
      <c r="A164" s="214" t="s">
        <v>517</v>
      </c>
      <c r="B164" s="6" t="s">
        <v>27</v>
      </c>
      <c r="C164" s="6">
        <v>20000</v>
      </c>
      <c r="D164" s="6">
        <v>2</v>
      </c>
      <c r="E164" s="6">
        <v>6</v>
      </c>
      <c r="F164" s="6">
        <v>1</v>
      </c>
      <c r="G164" s="6" t="s">
        <v>36</v>
      </c>
      <c r="H164" s="6" t="s">
        <v>40</v>
      </c>
      <c r="I164" s="6" t="s">
        <v>96</v>
      </c>
      <c r="J164" s="21" t="s">
        <v>190</v>
      </c>
      <c r="K164" s="21">
        <v>2</v>
      </c>
      <c r="L164" s="21">
        <v>1</v>
      </c>
      <c r="M164" s="21">
        <v>0</v>
      </c>
      <c r="N164" s="21">
        <v>0</v>
      </c>
      <c r="O164" s="21">
        <v>0</v>
      </c>
      <c r="P164" s="21" t="str">
        <f>IF(TeamT[[#This Row],[General]]+TeamT[[#This Row],[Agility]]+TeamT[[#This Row],[Strength]]+TeamT[[#This Row],[Passing]]+TeamT[[#This Row],[Mutation]]&gt;0,IF(TeamT[[#This Row],[General]]=1,"G","")&amp;IF(TeamT[[#This Row],[Agility]]=1,"A","")&amp;IF(TeamT[[#This Row],[Strength]]=1,"S","")&amp;IF(TeamT[[#This Row],[Passing]]=1,"P","")&amp;IF(TeamT[[#This Row],[Mutation]]=1,"M",""),"Star")</f>
        <v>A</v>
      </c>
      <c r="Q164" s="21" t="str">
        <f>IF(TeamT[[#This Row],[General]]=2,"G","")&amp;IF(TeamT[[#This Row],[Agility]]=2,"A","")&amp;IF(TeamT[[#This Row],[Strength]]=2,"S","")&amp;IF(TeamT[[#This Row],[Passing]]=2,"P","")&amp;IF(TeamT[[#This Row],[Mutation]]=2,"M","")</f>
        <v>G</v>
      </c>
      <c r="R164" s="212"/>
      <c r="S164" s="21">
        <v>3</v>
      </c>
      <c r="T164" s="21">
        <v>5</v>
      </c>
      <c r="U164" s="21">
        <v>6</v>
      </c>
    </row>
    <row r="165" spans="1:21" x14ac:dyDescent="0.15">
      <c r="A165" s="214" t="s">
        <v>186</v>
      </c>
      <c r="B165" s="6" t="s">
        <v>27</v>
      </c>
      <c r="C165" s="6">
        <v>105000</v>
      </c>
      <c r="D165" s="6">
        <v>2</v>
      </c>
      <c r="E165" s="6">
        <v>4</v>
      </c>
      <c r="F165" s="6">
        <v>5</v>
      </c>
      <c r="G165" s="6" t="s">
        <v>40</v>
      </c>
      <c r="H165" s="6" t="s">
        <v>53</v>
      </c>
      <c r="I165" s="6" t="s">
        <v>46</v>
      </c>
      <c r="J165" s="21" t="s">
        <v>191</v>
      </c>
      <c r="K165" s="21">
        <v>2</v>
      </c>
      <c r="L165" s="21">
        <v>2</v>
      </c>
      <c r="M165" s="21">
        <v>1</v>
      </c>
      <c r="N165" s="21">
        <v>0</v>
      </c>
      <c r="O165" s="21">
        <v>0</v>
      </c>
      <c r="P165" s="21" t="str">
        <f>IF(TeamT[[#This Row],[General]]+TeamT[[#This Row],[Agility]]+TeamT[[#This Row],[Strength]]+TeamT[[#This Row],[Passing]]+TeamT[[#This Row],[Mutation]]&gt;0,IF(TeamT[[#This Row],[General]]=1,"G","")&amp;IF(TeamT[[#This Row],[Agility]]=1,"A","")&amp;IF(TeamT[[#This Row],[Strength]]=1,"S","")&amp;IF(TeamT[[#This Row],[Passing]]=1,"P","")&amp;IF(TeamT[[#This Row],[Mutation]]=1,"M",""),"Star")</f>
        <v>S</v>
      </c>
      <c r="Q165" s="21" t="str">
        <f>IF(TeamT[[#This Row],[General]]=2,"G","")&amp;IF(TeamT[[#This Row],[Agility]]=2,"A","")&amp;IF(TeamT[[#This Row],[Strength]]=2,"S","")&amp;IF(TeamT[[#This Row],[Passing]]=2,"P","")&amp;IF(TeamT[[#This Row],[Mutation]]=2,"M","")</f>
        <v>GA</v>
      </c>
      <c r="R165" s="212"/>
      <c r="S165" s="21">
        <v>5</v>
      </c>
      <c r="T165" s="21" t="s">
        <v>53</v>
      </c>
      <c r="U165" s="21">
        <v>9</v>
      </c>
    </row>
    <row r="166" spans="1:21" x14ac:dyDescent="0.15">
      <c r="A166" s="214" t="s">
        <v>43</v>
      </c>
      <c r="B166" s="6" t="s">
        <v>27</v>
      </c>
      <c r="C166" s="6">
        <v>115000</v>
      </c>
      <c r="D166" s="6">
        <v>2</v>
      </c>
      <c r="E166" s="6">
        <v>4</v>
      </c>
      <c r="F166" s="6">
        <v>5</v>
      </c>
      <c r="G166" s="6" t="s">
        <v>40</v>
      </c>
      <c r="H166" s="6" t="s">
        <v>40</v>
      </c>
      <c r="I166" s="6" t="s">
        <v>41</v>
      </c>
      <c r="J166" s="21" t="s">
        <v>192</v>
      </c>
      <c r="K166" s="21">
        <v>2</v>
      </c>
      <c r="L166" s="21">
        <v>2</v>
      </c>
      <c r="M166" s="21">
        <v>1</v>
      </c>
      <c r="N166" s="21">
        <v>2</v>
      </c>
      <c r="O166" s="21">
        <v>0</v>
      </c>
      <c r="P166" s="21" t="str">
        <f>IF(TeamT[[#This Row],[General]]+TeamT[[#This Row],[Agility]]+TeamT[[#This Row],[Strength]]+TeamT[[#This Row],[Passing]]+TeamT[[#This Row],[Mutation]]&gt;0,IF(TeamT[[#This Row],[General]]=1,"G","")&amp;IF(TeamT[[#This Row],[Agility]]=1,"A","")&amp;IF(TeamT[[#This Row],[Strength]]=1,"S","")&amp;IF(TeamT[[#This Row],[Passing]]=1,"P","")&amp;IF(TeamT[[#This Row],[Mutation]]=1,"M",""),"Star")</f>
        <v>S</v>
      </c>
      <c r="Q166" s="21" t="str">
        <f>IF(TeamT[[#This Row],[General]]=2,"G","")&amp;IF(TeamT[[#This Row],[Agility]]=2,"A","")&amp;IF(TeamT[[#This Row],[Strength]]=2,"S","")&amp;IF(TeamT[[#This Row],[Passing]]=2,"P","")&amp;IF(TeamT[[#This Row],[Mutation]]=2,"M","")</f>
        <v>GAP</v>
      </c>
      <c r="R166" s="212"/>
      <c r="S166" s="21">
        <v>5</v>
      </c>
      <c r="T166" s="21">
        <v>5</v>
      </c>
      <c r="U166" s="21">
        <v>10</v>
      </c>
    </row>
    <row r="167" spans="1:21" x14ac:dyDescent="0.15">
      <c r="A167" s="214" t="s">
        <v>553</v>
      </c>
      <c r="B167" s="6" t="s">
        <v>27</v>
      </c>
      <c r="C167" s="6">
        <v>15000</v>
      </c>
      <c r="D167" s="6">
        <v>11</v>
      </c>
      <c r="E167" s="6">
        <v>5</v>
      </c>
      <c r="F167" s="6">
        <v>1</v>
      </c>
      <c r="G167" s="6" t="s">
        <v>36</v>
      </c>
      <c r="H167" s="6" t="s">
        <v>40</v>
      </c>
      <c r="I167" s="6" t="s">
        <v>96</v>
      </c>
      <c r="J167" s="21" t="s">
        <v>197</v>
      </c>
      <c r="K167" s="21">
        <v>2</v>
      </c>
      <c r="L167" s="21">
        <v>1</v>
      </c>
      <c r="M167" s="21">
        <v>0</v>
      </c>
      <c r="N167" s="21">
        <v>0</v>
      </c>
      <c r="O167" s="21">
        <v>0</v>
      </c>
      <c r="P167" s="21" t="str">
        <f>IF(TeamT[[#This Row],[General]]+TeamT[[#This Row],[Agility]]+TeamT[[#This Row],[Strength]]+TeamT[[#This Row],[Passing]]+TeamT[[#This Row],[Mutation]]&gt;0,IF(TeamT[[#This Row],[General]]=1,"G","")&amp;IF(TeamT[[#This Row],[Agility]]=1,"A","")&amp;IF(TeamT[[#This Row],[Strength]]=1,"S","")&amp;IF(TeamT[[#This Row],[Passing]]=1,"P","")&amp;IF(TeamT[[#This Row],[Mutation]]=1,"M",""),"Star")</f>
        <v>A</v>
      </c>
      <c r="Q167" s="21" t="str">
        <f>IF(TeamT[[#This Row],[General]]=2,"G","")&amp;IF(TeamT[[#This Row],[Agility]]=2,"A","")&amp;IF(TeamT[[#This Row],[Strength]]=2,"S","")&amp;IF(TeamT[[#This Row],[Passing]]=2,"P","")&amp;IF(TeamT[[#This Row],[Mutation]]=2,"M","")</f>
        <v>G</v>
      </c>
      <c r="R167" s="212"/>
      <c r="S167" s="21">
        <v>3</v>
      </c>
      <c r="T167" s="21">
        <v>5</v>
      </c>
      <c r="U167" s="21">
        <v>6</v>
      </c>
    </row>
    <row r="168" spans="1:21" x14ac:dyDescent="0.15">
      <c r="A168" s="104" t="s">
        <v>504</v>
      </c>
      <c r="B168" s="6" t="s">
        <v>608</v>
      </c>
      <c r="C168" s="6">
        <v>40000</v>
      </c>
      <c r="D168" s="6">
        <v>16</v>
      </c>
      <c r="E168" s="6">
        <v>5</v>
      </c>
      <c r="F168" s="6">
        <v>3</v>
      </c>
      <c r="G168" s="6" t="s">
        <v>37</v>
      </c>
      <c r="H168" s="6" t="s">
        <v>96</v>
      </c>
      <c r="I168" s="6" t="s">
        <v>38</v>
      </c>
      <c r="J168" s="21" t="s">
        <v>179</v>
      </c>
      <c r="K168" s="21">
        <v>1</v>
      </c>
      <c r="L168" s="21">
        <v>2</v>
      </c>
      <c r="M168" s="21">
        <v>2</v>
      </c>
      <c r="N168" s="21">
        <v>0</v>
      </c>
      <c r="O168" s="21">
        <v>0</v>
      </c>
      <c r="P168" s="23" t="str">
        <f>IF(TeamT[[#This Row],[General]]+TeamT[[#This Row],[Agility]]+TeamT[[#This Row],[Strength]]+TeamT[[#This Row],[Passing]]+TeamT[[#This Row],[Mutation]]&gt;0,IF(TeamT[[#This Row],[General]]=1,"G","")&amp;IF(TeamT[[#This Row],[Agility]]=1,"A","")&amp;IF(TeamT[[#This Row],[Strength]]=1,"S","")&amp;IF(TeamT[[#This Row],[Passing]]=1,"P","")&amp;IF(TeamT[[#This Row],[Mutation]]=1,"M",""),"Star")</f>
        <v>G</v>
      </c>
      <c r="Q168" s="23" t="str">
        <f>IF(TeamT[[#This Row],[General]]=2,"G","")&amp;IF(TeamT[[#This Row],[Agility]]=2,"A","")&amp;IF(TeamT[[#This Row],[Strength]]=2,"S","")&amp;IF(TeamT[[#This Row],[Passing]]=2,"P","")&amp;IF(TeamT[[#This Row],[Mutation]]=2,"M","")</f>
        <v>AS</v>
      </c>
      <c r="R168" s="212"/>
      <c r="S168" s="21">
        <v>4</v>
      </c>
      <c r="T168" s="21">
        <v>6</v>
      </c>
      <c r="U168" s="21">
        <v>8</v>
      </c>
    </row>
    <row r="169" spans="1:21" x14ac:dyDescent="0.15">
      <c r="A169" s="104" t="s">
        <v>609</v>
      </c>
      <c r="B169" s="6" t="s">
        <v>608</v>
      </c>
      <c r="C169" s="6">
        <v>70000</v>
      </c>
      <c r="D169" s="6">
        <v>2</v>
      </c>
      <c r="E169" s="6">
        <v>6</v>
      </c>
      <c r="F169" s="6">
        <v>3</v>
      </c>
      <c r="G169" s="6" t="s">
        <v>37</v>
      </c>
      <c r="H169" s="6" t="s">
        <v>36</v>
      </c>
      <c r="I169" s="6" t="s">
        <v>38</v>
      </c>
      <c r="J169" s="21" t="s">
        <v>616</v>
      </c>
      <c r="K169" s="21">
        <v>1</v>
      </c>
      <c r="L169" s="21">
        <v>2</v>
      </c>
      <c r="M169" s="21">
        <v>0</v>
      </c>
      <c r="N169" s="21">
        <v>1</v>
      </c>
      <c r="O169" s="21">
        <v>0</v>
      </c>
      <c r="P169" s="23" t="str">
        <f>IF(TeamT[[#This Row],[General]]+TeamT[[#This Row],[Agility]]+TeamT[[#This Row],[Strength]]+TeamT[[#This Row],[Passing]]+TeamT[[#This Row],[Mutation]]&gt;0,IF(TeamT[[#This Row],[General]]=1,"G","")&amp;IF(TeamT[[#This Row],[Agility]]=1,"A","")&amp;IF(TeamT[[#This Row],[Strength]]=1,"S","")&amp;IF(TeamT[[#This Row],[Passing]]=1,"P","")&amp;IF(TeamT[[#This Row],[Mutation]]=1,"M",""),"Star")</f>
        <v>GP</v>
      </c>
      <c r="Q169" s="23" t="str">
        <f>IF(TeamT[[#This Row],[General]]=2,"G","")&amp;IF(TeamT[[#This Row],[Agility]]=2,"A","")&amp;IF(TeamT[[#This Row],[Strength]]=2,"S","")&amp;IF(TeamT[[#This Row],[Passing]]=2,"P","")&amp;IF(TeamT[[#This Row],[Mutation]]=2,"M","")</f>
        <v>A</v>
      </c>
      <c r="R169" s="212"/>
      <c r="S169" s="21">
        <v>4</v>
      </c>
      <c r="T169" s="21">
        <v>3</v>
      </c>
      <c r="U169" s="21">
        <v>8</v>
      </c>
    </row>
    <row r="170" spans="1:21" x14ac:dyDescent="0.15">
      <c r="A170" s="104" t="s">
        <v>610</v>
      </c>
      <c r="B170" s="6" t="s">
        <v>608</v>
      </c>
      <c r="C170" s="6">
        <v>90000</v>
      </c>
      <c r="D170" s="6">
        <v>2</v>
      </c>
      <c r="E170" s="6">
        <v>6</v>
      </c>
      <c r="F170" s="6">
        <v>3</v>
      </c>
      <c r="G170" s="6" t="s">
        <v>37</v>
      </c>
      <c r="H170" s="6" t="s">
        <v>96</v>
      </c>
      <c r="I170" s="6" t="s">
        <v>46</v>
      </c>
      <c r="J170" s="21" t="s">
        <v>617</v>
      </c>
      <c r="K170" s="21">
        <v>1</v>
      </c>
      <c r="L170" s="21">
        <v>2</v>
      </c>
      <c r="M170" s="21">
        <v>1</v>
      </c>
      <c r="N170" s="21">
        <v>2</v>
      </c>
      <c r="O170" s="21">
        <v>0</v>
      </c>
      <c r="P170" s="23" t="str">
        <f>IF(TeamT[[#This Row],[General]]+TeamT[[#This Row],[Agility]]+TeamT[[#This Row],[Strength]]+TeamT[[#This Row],[Passing]]+TeamT[[#This Row],[Mutation]]&gt;0,IF(TeamT[[#This Row],[General]]=1,"G","")&amp;IF(TeamT[[#This Row],[Agility]]=1,"A","")&amp;IF(TeamT[[#This Row],[Strength]]=1,"S","")&amp;IF(TeamT[[#This Row],[Passing]]=1,"P","")&amp;IF(TeamT[[#This Row],[Mutation]]=1,"M",""),"Star")</f>
        <v>GS</v>
      </c>
      <c r="Q170" s="23" t="str">
        <f>IF(TeamT[[#This Row],[General]]=2,"G","")&amp;IF(TeamT[[#This Row],[Agility]]=2,"A","")&amp;IF(TeamT[[#This Row],[Strength]]=2,"S","")&amp;IF(TeamT[[#This Row],[Passing]]=2,"P","")&amp;IF(TeamT[[#This Row],[Mutation]]=2,"M","")</f>
        <v>AP</v>
      </c>
      <c r="R170" s="212"/>
      <c r="S170" s="21">
        <v>4</v>
      </c>
      <c r="T170" s="21">
        <v>6</v>
      </c>
      <c r="U170" s="21">
        <v>9</v>
      </c>
    </row>
    <row r="171" spans="1:21" x14ac:dyDescent="0.15">
      <c r="A171" s="104" t="s">
        <v>611</v>
      </c>
      <c r="B171" s="6" t="s">
        <v>608</v>
      </c>
      <c r="C171" s="6">
        <v>100000</v>
      </c>
      <c r="D171" s="6">
        <v>4</v>
      </c>
      <c r="E171" s="6">
        <v>4</v>
      </c>
      <c r="F171" s="6">
        <v>5</v>
      </c>
      <c r="G171" s="6" t="s">
        <v>40</v>
      </c>
      <c r="H171" s="6" t="s">
        <v>53</v>
      </c>
      <c r="I171" s="6" t="s">
        <v>41</v>
      </c>
      <c r="J171" s="21" t="s">
        <v>618</v>
      </c>
      <c r="K171" s="21">
        <v>2</v>
      </c>
      <c r="L171" s="21">
        <v>2</v>
      </c>
      <c r="M171" s="21">
        <v>1</v>
      </c>
      <c r="N171" s="21">
        <v>0</v>
      </c>
      <c r="O171" s="21">
        <v>0</v>
      </c>
      <c r="P171" s="23" t="str">
        <f>IF(TeamT[[#This Row],[General]]+TeamT[[#This Row],[Agility]]+TeamT[[#This Row],[Strength]]+TeamT[[#This Row],[Passing]]+TeamT[[#This Row],[Mutation]]&gt;0,IF(TeamT[[#This Row],[General]]=1,"G","")&amp;IF(TeamT[[#This Row],[Agility]]=1,"A","")&amp;IF(TeamT[[#This Row],[Strength]]=1,"S","")&amp;IF(TeamT[[#This Row],[Passing]]=1,"P","")&amp;IF(TeamT[[#This Row],[Mutation]]=1,"M",""),"Star")</f>
        <v>S</v>
      </c>
      <c r="Q171" s="23" t="str">
        <f>IF(TeamT[[#This Row],[General]]=2,"G","")&amp;IF(TeamT[[#This Row],[Agility]]=2,"A","")&amp;IF(TeamT[[#This Row],[Strength]]=2,"S","")&amp;IF(TeamT[[#This Row],[Passing]]=2,"P","")&amp;IF(TeamT[[#This Row],[Mutation]]=2,"M","")</f>
        <v>GA</v>
      </c>
      <c r="R171" s="212"/>
      <c r="S171" s="21">
        <v>5</v>
      </c>
      <c r="T171" s="21" t="s">
        <v>53</v>
      </c>
      <c r="U171" s="21">
        <v>10</v>
      </c>
    </row>
    <row r="172" spans="1:21" x14ac:dyDescent="0.15">
      <c r="A172" s="104" t="s">
        <v>612</v>
      </c>
      <c r="B172" s="6" t="s">
        <v>608</v>
      </c>
      <c r="C172" s="6">
        <v>40000</v>
      </c>
      <c r="D172" s="6">
        <v>11</v>
      </c>
      <c r="E172" s="6">
        <v>5</v>
      </c>
      <c r="F172" s="6">
        <v>3</v>
      </c>
      <c r="G172" s="6" t="s">
        <v>37</v>
      </c>
      <c r="H172" s="6" t="s">
        <v>96</v>
      </c>
      <c r="I172" s="6" t="s">
        <v>38</v>
      </c>
      <c r="J172" s="21" t="s">
        <v>619</v>
      </c>
      <c r="K172" s="21">
        <v>1</v>
      </c>
      <c r="L172" s="21">
        <v>2</v>
      </c>
      <c r="M172" s="21">
        <v>2</v>
      </c>
      <c r="N172" s="21">
        <v>0</v>
      </c>
      <c r="O172" s="21">
        <v>0</v>
      </c>
      <c r="P172" s="23" t="str">
        <f>IF(TeamT[[#This Row],[General]]+TeamT[[#This Row],[Agility]]+TeamT[[#This Row],[Strength]]+TeamT[[#This Row],[Passing]]+TeamT[[#This Row],[Mutation]]&gt;0,IF(TeamT[[#This Row],[General]]=1,"G","")&amp;IF(TeamT[[#This Row],[Agility]]=1,"A","")&amp;IF(TeamT[[#This Row],[Strength]]=1,"S","")&amp;IF(TeamT[[#This Row],[Passing]]=1,"P","")&amp;IF(TeamT[[#This Row],[Mutation]]=1,"M",""),"Star")</f>
        <v>G</v>
      </c>
      <c r="Q172" s="23" t="str">
        <f>IF(TeamT[[#This Row],[General]]=2,"G","")&amp;IF(TeamT[[#This Row],[Agility]]=2,"A","")&amp;IF(TeamT[[#This Row],[Strength]]=2,"S","")&amp;IF(TeamT[[#This Row],[Passing]]=2,"P","")&amp;IF(TeamT[[#This Row],[Mutation]]=2,"M","")</f>
        <v>AS</v>
      </c>
      <c r="R172" s="212"/>
      <c r="S172" s="21">
        <v>4</v>
      </c>
      <c r="T172" s="21">
        <v>6</v>
      </c>
      <c r="U172" s="21">
        <v>8</v>
      </c>
    </row>
    <row r="173" spans="1:21" x14ac:dyDescent="0.15">
      <c r="A173" s="214" t="s">
        <v>507</v>
      </c>
      <c r="B173" s="6" t="s">
        <v>537</v>
      </c>
      <c r="C173" s="6">
        <v>40000</v>
      </c>
      <c r="D173" s="6">
        <v>12</v>
      </c>
      <c r="E173" s="6">
        <v>6</v>
      </c>
      <c r="F173" s="6">
        <v>2</v>
      </c>
      <c r="G173" s="6" t="s">
        <v>36</v>
      </c>
      <c r="H173" s="6" t="s">
        <v>37</v>
      </c>
      <c r="I173" s="6" t="s">
        <v>38</v>
      </c>
      <c r="J173" s="21" t="s">
        <v>95</v>
      </c>
      <c r="K173" s="21">
        <v>2</v>
      </c>
      <c r="L173" s="21">
        <v>1</v>
      </c>
      <c r="M173" s="21">
        <v>2</v>
      </c>
      <c r="N173" s="21">
        <v>0</v>
      </c>
      <c r="O173" s="21">
        <v>1</v>
      </c>
      <c r="P173" s="21" t="str">
        <f>IF(TeamT[[#This Row],[General]]+TeamT[[#This Row],[Agility]]+TeamT[[#This Row],[Strength]]+TeamT[[#This Row],[Passing]]+TeamT[[#This Row],[Mutation]]&gt;0,IF(TeamT[[#This Row],[General]]=1,"G","")&amp;IF(TeamT[[#This Row],[Agility]]=1,"A","")&amp;IF(TeamT[[#This Row],[Strength]]=1,"S","")&amp;IF(TeamT[[#This Row],[Passing]]=1,"P","")&amp;IF(TeamT[[#This Row],[Mutation]]=1,"M",""),"Star")</f>
        <v>AM</v>
      </c>
      <c r="Q173" s="21" t="str">
        <f>IF(TeamT[[#This Row],[General]]=2,"G","")&amp;IF(TeamT[[#This Row],[Agility]]=2,"A","")&amp;IF(TeamT[[#This Row],[Strength]]=2,"S","")&amp;IF(TeamT[[#This Row],[Passing]]=2,"P","")&amp;IF(TeamT[[#This Row],[Mutation]]=2,"M","")</f>
        <v>GS</v>
      </c>
      <c r="R173" s="212"/>
      <c r="S173" s="21">
        <v>3</v>
      </c>
      <c r="T173" s="21">
        <v>4</v>
      </c>
      <c r="U173" s="21">
        <v>8</v>
      </c>
    </row>
    <row r="174" spans="1:21" x14ac:dyDescent="0.15">
      <c r="A174" s="214" t="s">
        <v>193</v>
      </c>
      <c r="B174" s="6" t="s">
        <v>537</v>
      </c>
      <c r="C174" s="6">
        <v>15000</v>
      </c>
      <c r="D174" s="6">
        <v>6</v>
      </c>
      <c r="E174" s="6">
        <v>5</v>
      </c>
      <c r="F174" s="6">
        <v>1</v>
      </c>
      <c r="G174" s="6" t="s">
        <v>36</v>
      </c>
      <c r="H174" s="6" t="s">
        <v>40</v>
      </c>
      <c r="I174" s="6" t="s">
        <v>96</v>
      </c>
      <c r="J174" s="21" t="s">
        <v>187</v>
      </c>
      <c r="K174" s="21">
        <v>2</v>
      </c>
      <c r="L174" s="21">
        <v>1</v>
      </c>
      <c r="M174" s="21">
        <v>0</v>
      </c>
      <c r="N174" s="21">
        <v>0</v>
      </c>
      <c r="O174" s="21">
        <v>1</v>
      </c>
      <c r="P174" s="21" t="str">
        <f>IF(TeamT[[#This Row],[General]]+TeamT[[#This Row],[Agility]]+TeamT[[#This Row],[Strength]]+TeamT[[#This Row],[Passing]]+TeamT[[#This Row],[Mutation]]&gt;0,IF(TeamT[[#This Row],[General]]=1,"G","")&amp;IF(TeamT[[#This Row],[Agility]]=1,"A","")&amp;IF(TeamT[[#This Row],[Strength]]=1,"S","")&amp;IF(TeamT[[#This Row],[Passing]]=1,"P","")&amp;IF(TeamT[[#This Row],[Mutation]]=1,"M",""),"Star")</f>
        <v>AM</v>
      </c>
      <c r="Q174" s="21" t="str">
        <f>IF(TeamT[[#This Row],[General]]=2,"G","")&amp;IF(TeamT[[#This Row],[Agility]]=2,"A","")&amp;IF(TeamT[[#This Row],[Strength]]=2,"S","")&amp;IF(TeamT[[#This Row],[Passing]]=2,"P","")&amp;IF(TeamT[[#This Row],[Mutation]]=2,"M","")</f>
        <v>G</v>
      </c>
      <c r="R174" s="212"/>
      <c r="S174" s="21">
        <v>3</v>
      </c>
      <c r="T174" s="21">
        <v>5</v>
      </c>
      <c r="U174" s="21">
        <v>6</v>
      </c>
    </row>
    <row r="175" spans="1:21" x14ac:dyDescent="0.15">
      <c r="A175" s="214" t="s">
        <v>194</v>
      </c>
      <c r="B175" s="6" t="s">
        <v>537</v>
      </c>
      <c r="C175" s="6">
        <v>50000</v>
      </c>
      <c r="D175" s="6">
        <v>3</v>
      </c>
      <c r="E175" s="6">
        <v>7</v>
      </c>
      <c r="F175" s="6">
        <v>3</v>
      </c>
      <c r="G175" s="6" t="s">
        <v>36</v>
      </c>
      <c r="H175" s="6" t="s">
        <v>37</v>
      </c>
      <c r="I175" s="6" t="s">
        <v>38</v>
      </c>
      <c r="J175" s="21" t="s">
        <v>198</v>
      </c>
      <c r="K175" s="21">
        <v>1</v>
      </c>
      <c r="L175" s="21">
        <v>2</v>
      </c>
      <c r="M175" s="21">
        <v>2</v>
      </c>
      <c r="N175" s="21">
        <v>0</v>
      </c>
      <c r="O175" s="21">
        <v>1</v>
      </c>
      <c r="P175" s="21" t="str">
        <f>IF(TeamT[[#This Row],[General]]+TeamT[[#This Row],[Agility]]+TeamT[[#This Row],[Strength]]+TeamT[[#This Row],[Passing]]+TeamT[[#This Row],[Mutation]]&gt;0,IF(TeamT[[#This Row],[General]]=1,"G","")&amp;IF(TeamT[[#This Row],[Agility]]=1,"A","")&amp;IF(TeamT[[#This Row],[Strength]]=1,"S","")&amp;IF(TeamT[[#This Row],[Passing]]=1,"P","")&amp;IF(TeamT[[#This Row],[Mutation]]=1,"M",""),"Star")</f>
        <v>GM</v>
      </c>
      <c r="Q175" s="21" t="str">
        <f>IF(TeamT[[#This Row],[General]]=2,"G","")&amp;IF(TeamT[[#This Row],[Agility]]=2,"A","")&amp;IF(TeamT[[#This Row],[Strength]]=2,"S","")&amp;IF(TeamT[[#This Row],[Passing]]=2,"P","")&amp;IF(TeamT[[#This Row],[Mutation]]=2,"M","")</f>
        <v>AS</v>
      </c>
      <c r="R175" s="212"/>
      <c r="S175" s="21">
        <v>3</v>
      </c>
      <c r="T175" s="21">
        <v>4</v>
      </c>
      <c r="U175" s="21">
        <v>8</v>
      </c>
    </row>
    <row r="176" spans="1:21" x14ac:dyDescent="0.15">
      <c r="A176" s="214" t="s">
        <v>518</v>
      </c>
      <c r="B176" s="6" t="s">
        <v>537</v>
      </c>
      <c r="C176" s="6">
        <v>85000</v>
      </c>
      <c r="D176" s="6">
        <v>1</v>
      </c>
      <c r="E176" s="6">
        <v>7</v>
      </c>
      <c r="F176" s="6">
        <v>3</v>
      </c>
      <c r="G176" s="6" t="s">
        <v>36</v>
      </c>
      <c r="H176" s="6" t="s">
        <v>59</v>
      </c>
      <c r="I176" s="6" t="s">
        <v>38</v>
      </c>
      <c r="J176" s="21" t="s">
        <v>199</v>
      </c>
      <c r="K176" s="21">
        <v>1</v>
      </c>
      <c r="L176" s="21">
        <v>2</v>
      </c>
      <c r="M176" s="21">
        <v>2</v>
      </c>
      <c r="N176" s="21">
        <v>1</v>
      </c>
      <c r="O176" s="21">
        <v>1</v>
      </c>
      <c r="P176" s="21" t="str">
        <f>IF(TeamT[[#This Row],[General]]+TeamT[[#This Row],[Agility]]+TeamT[[#This Row],[Strength]]+TeamT[[#This Row],[Passing]]+TeamT[[#This Row],[Mutation]]&gt;0,IF(TeamT[[#This Row],[General]]=1,"G","")&amp;IF(TeamT[[#This Row],[Agility]]=1,"A","")&amp;IF(TeamT[[#This Row],[Strength]]=1,"S","")&amp;IF(TeamT[[#This Row],[Passing]]=1,"P","")&amp;IF(TeamT[[#This Row],[Mutation]]=1,"M",""),"Star")</f>
        <v>GPM</v>
      </c>
      <c r="Q176" s="21" t="str">
        <f>IF(TeamT[[#This Row],[General]]=2,"G","")&amp;IF(TeamT[[#This Row],[Agility]]=2,"A","")&amp;IF(TeamT[[#This Row],[Strength]]=2,"S","")&amp;IF(TeamT[[#This Row],[Passing]]=2,"P","")&amp;IF(TeamT[[#This Row],[Mutation]]=2,"M","")</f>
        <v>AS</v>
      </c>
      <c r="R176" s="212"/>
      <c r="S176" s="21">
        <v>3</v>
      </c>
      <c r="T176" s="21">
        <v>2</v>
      </c>
      <c r="U176" s="21">
        <v>8</v>
      </c>
    </row>
    <row r="177" spans="1:21" x14ac:dyDescent="0.15">
      <c r="A177" s="214" t="s">
        <v>525</v>
      </c>
      <c r="B177" s="6" t="s">
        <v>537</v>
      </c>
      <c r="C177" s="6">
        <v>85000</v>
      </c>
      <c r="D177" s="6">
        <v>1</v>
      </c>
      <c r="E177" s="6">
        <v>9</v>
      </c>
      <c r="F177" s="6">
        <v>2</v>
      </c>
      <c r="G177" s="6" t="s">
        <v>59</v>
      </c>
      <c r="H177" s="6" t="s">
        <v>37</v>
      </c>
      <c r="I177" s="6" t="s">
        <v>38</v>
      </c>
      <c r="J177" s="21" t="s">
        <v>201</v>
      </c>
      <c r="K177" s="21">
        <v>1</v>
      </c>
      <c r="L177" s="21">
        <v>1</v>
      </c>
      <c r="M177" s="21">
        <v>2</v>
      </c>
      <c r="N177" s="21">
        <v>2</v>
      </c>
      <c r="O177" s="21">
        <v>1</v>
      </c>
      <c r="P177" s="21" t="str">
        <f>IF(TeamT[[#This Row],[General]]+TeamT[[#This Row],[Agility]]+TeamT[[#This Row],[Strength]]+TeamT[[#This Row],[Passing]]+TeamT[[#This Row],[Mutation]]&gt;0,IF(TeamT[[#This Row],[General]]=1,"G","")&amp;IF(TeamT[[#This Row],[Agility]]=1,"A","")&amp;IF(TeamT[[#This Row],[Strength]]=1,"S","")&amp;IF(TeamT[[#This Row],[Passing]]=1,"P","")&amp;IF(TeamT[[#This Row],[Mutation]]=1,"M",""),"Star")</f>
        <v>GAM</v>
      </c>
      <c r="Q177" s="21" t="str">
        <f>IF(TeamT[[#This Row],[General]]=2,"G","")&amp;IF(TeamT[[#This Row],[Agility]]=2,"A","")&amp;IF(TeamT[[#This Row],[Strength]]=2,"S","")&amp;IF(TeamT[[#This Row],[Passing]]=2,"P","")&amp;IF(TeamT[[#This Row],[Mutation]]=2,"M","")</f>
        <v>SP</v>
      </c>
      <c r="R177" s="212"/>
      <c r="S177" s="21">
        <v>2</v>
      </c>
      <c r="T177" s="21">
        <v>4</v>
      </c>
      <c r="U177" s="21">
        <v>8</v>
      </c>
    </row>
    <row r="178" spans="1:21" x14ac:dyDescent="0.15">
      <c r="A178" s="214" t="s">
        <v>527</v>
      </c>
      <c r="B178" s="6" t="s">
        <v>537</v>
      </c>
      <c r="C178" s="6">
        <v>90000</v>
      </c>
      <c r="D178" s="6">
        <v>1</v>
      </c>
      <c r="E178" s="6">
        <v>7</v>
      </c>
      <c r="F178" s="6">
        <v>3</v>
      </c>
      <c r="G178" s="6" t="s">
        <v>36</v>
      </c>
      <c r="H178" s="6" t="s">
        <v>40</v>
      </c>
      <c r="I178" s="6" t="s">
        <v>46</v>
      </c>
      <c r="J178" s="21" t="s">
        <v>200</v>
      </c>
      <c r="K178" s="21">
        <v>1</v>
      </c>
      <c r="L178" s="21">
        <v>2</v>
      </c>
      <c r="M178" s="21">
        <v>1</v>
      </c>
      <c r="N178" s="21">
        <v>2</v>
      </c>
      <c r="O178" s="21">
        <v>1</v>
      </c>
      <c r="P178" s="21" t="str">
        <f>IF(TeamT[[#This Row],[General]]+TeamT[[#This Row],[Agility]]+TeamT[[#This Row],[Strength]]+TeamT[[#This Row],[Passing]]+TeamT[[#This Row],[Mutation]]&gt;0,IF(TeamT[[#This Row],[General]]=1,"G","")&amp;IF(TeamT[[#This Row],[Agility]]=1,"A","")&amp;IF(TeamT[[#This Row],[Strength]]=1,"S","")&amp;IF(TeamT[[#This Row],[Passing]]=1,"P","")&amp;IF(TeamT[[#This Row],[Mutation]]=1,"M",""),"Star")</f>
        <v>GSM</v>
      </c>
      <c r="Q178" s="21" t="str">
        <f>IF(TeamT[[#This Row],[General]]=2,"G","")&amp;IF(TeamT[[#This Row],[Agility]]=2,"A","")&amp;IF(TeamT[[#This Row],[Strength]]=2,"S","")&amp;IF(TeamT[[#This Row],[Passing]]=2,"P","")&amp;IF(TeamT[[#This Row],[Mutation]]=2,"M","")</f>
        <v>AP</v>
      </c>
      <c r="R178" s="212"/>
      <c r="S178" s="21">
        <v>3</v>
      </c>
      <c r="T178" s="21">
        <v>5</v>
      </c>
      <c r="U178" s="21">
        <v>9</v>
      </c>
    </row>
    <row r="179" spans="1:21" x14ac:dyDescent="0.15">
      <c r="A179" s="214" t="s">
        <v>195</v>
      </c>
      <c r="B179" s="6" t="s">
        <v>537</v>
      </c>
      <c r="C179" s="6">
        <v>115000</v>
      </c>
      <c r="D179" s="6">
        <v>1</v>
      </c>
      <c r="E179" s="6">
        <v>4</v>
      </c>
      <c r="F179" s="6">
        <v>5</v>
      </c>
      <c r="G179" s="6" t="s">
        <v>40</v>
      </c>
      <c r="H179" s="6" t="s">
        <v>40</v>
      </c>
      <c r="I179" s="6" t="s">
        <v>41</v>
      </c>
      <c r="J179" s="21" t="s">
        <v>50</v>
      </c>
      <c r="K179" s="21">
        <v>2</v>
      </c>
      <c r="L179" s="21">
        <v>2</v>
      </c>
      <c r="M179" s="21">
        <v>1</v>
      </c>
      <c r="N179" s="21">
        <v>2</v>
      </c>
      <c r="O179" s="21">
        <v>1</v>
      </c>
      <c r="P179" s="21" t="str">
        <f>IF(TeamT[[#This Row],[General]]+TeamT[[#This Row],[Agility]]+TeamT[[#This Row],[Strength]]+TeamT[[#This Row],[Passing]]+TeamT[[#This Row],[Mutation]]&gt;0,IF(TeamT[[#This Row],[General]]=1,"G","")&amp;IF(TeamT[[#This Row],[Agility]]=1,"A","")&amp;IF(TeamT[[#This Row],[Strength]]=1,"S","")&amp;IF(TeamT[[#This Row],[Passing]]=1,"P","")&amp;IF(TeamT[[#This Row],[Mutation]]=1,"M",""),"Star")</f>
        <v>SM</v>
      </c>
      <c r="Q179" s="21" t="str">
        <f>IF(TeamT[[#This Row],[General]]=2,"G","")&amp;IF(TeamT[[#This Row],[Agility]]=2,"A","")&amp;IF(TeamT[[#This Row],[Strength]]=2,"S","")&amp;IF(TeamT[[#This Row],[Passing]]=2,"P","")&amp;IF(TeamT[[#This Row],[Mutation]]=2,"M","")</f>
        <v>GAP</v>
      </c>
      <c r="R179" s="212"/>
      <c r="S179" s="21">
        <v>5</v>
      </c>
      <c r="T179" s="21">
        <v>5</v>
      </c>
      <c r="U179" s="21">
        <v>10</v>
      </c>
    </row>
    <row r="180" spans="1:21" x14ac:dyDescent="0.15">
      <c r="A180" s="214" t="s">
        <v>196</v>
      </c>
      <c r="B180" s="6" t="s">
        <v>537</v>
      </c>
      <c r="C180" s="6">
        <v>150000</v>
      </c>
      <c r="D180" s="6">
        <v>1</v>
      </c>
      <c r="E180" s="6">
        <v>6</v>
      </c>
      <c r="F180" s="6">
        <v>5</v>
      </c>
      <c r="G180" s="6" t="s">
        <v>37</v>
      </c>
      <c r="H180" s="6" t="s">
        <v>53</v>
      </c>
      <c r="I180" s="6" t="s">
        <v>46</v>
      </c>
      <c r="J180" s="21" t="s">
        <v>64</v>
      </c>
      <c r="K180" s="21">
        <v>2</v>
      </c>
      <c r="L180" s="21">
        <v>2</v>
      </c>
      <c r="M180" s="21">
        <v>1</v>
      </c>
      <c r="N180" s="21">
        <v>0</v>
      </c>
      <c r="O180" s="21">
        <v>1</v>
      </c>
      <c r="P180" s="21" t="str">
        <f>IF(TeamT[[#This Row],[General]]+TeamT[[#This Row],[Agility]]+TeamT[[#This Row],[Strength]]+TeamT[[#This Row],[Passing]]+TeamT[[#This Row],[Mutation]]&gt;0,IF(TeamT[[#This Row],[General]]=1,"G","")&amp;IF(TeamT[[#This Row],[Agility]]=1,"A","")&amp;IF(TeamT[[#This Row],[Strength]]=1,"S","")&amp;IF(TeamT[[#This Row],[Passing]]=1,"P","")&amp;IF(TeamT[[#This Row],[Mutation]]=1,"M",""),"Star")</f>
        <v>SM</v>
      </c>
      <c r="Q180" s="21" t="str">
        <f>IF(TeamT[[#This Row],[General]]=2,"G","")&amp;IF(TeamT[[#This Row],[Agility]]=2,"A","")&amp;IF(TeamT[[#This Row],[Strength]]=2,"S","")&amp;IF(TeamT[[#This Row],[Passing]]=2,"P","")&amp;IF(TeamT[[#This Row],[Mutation]]=2,"M","")</f>
        <v>GA</v>
      </c>
      <c r="R180" s="212"/>
      <c r="S180" s="21">
        <v>4</v>
      </c>
      <c r="T180" s="21" t="s">
        <v>53</v>
      </c>
      <c r="U180" s="21">
        <v>9</v>
      </c>
    </row>
    <row r="181" spans="1:21" x14ac:dyDescent="0.15">
      <c r="A181" s="214" t="s">
        <v>554</v>
      </c>
      <c r="B181" s="6" t="s">
        <v>537</v>
      </c>
      <c r="C181" s="6">
        <v>40000</v>
      </c>
      <c r="D181" s="6">
        <v>11</v>
      </c>
      <c r="E181" s="6">
        <v>6</v>
      </c>
      <c r="F181" s="6">
        <v>2</v>
      </c>
      <c r="G181" s="6" t="s">
        <v>36</v>
      </c>
      <c r="H181" s="6" t="s">
        <v>37</v>
      </c>
      <c r="I181" s="6" t="s">
        <v>38</v>
      </c>
      <c r="J181" s="21" t="s">
        <v>106</v>
      </c>
      <c r="K181" s="21">
        <v>2</v>
      </c>
      <c r="L181" s="21">
        <v>1</v>
      </c>
      <c r="M181" s="21">
        <v>2</v>
      </c>
      <c r="N181" s="21">
        <v>0</v>
      </c>
      <c r="O181" s="21">
        <v>1</v>
      </c>
      <c r="P181" s="21" t="str">
        <f>IF(TeamT[[#This Row],[General]]+TeamT[[#This Row],[Agility]]+TeamT[[#This Row],[Strength]]+TeamT[[#This Row],[Passing]]+TeamT[[#This Row],[Mutation]]&gt;0,IF(TeamT[[#This Row],[General]]=1,"G","")&amp;IF(TeamT[[#This Row],[Agility]]=1,"A","")&amp;IF(TeamT[[#This Row],[Strength]]=1,"S","")&amp;IF(TeamT[[#This Row],[Passing]]=1,"P","")&amp;IF(TeamT[[#This Row],[Mutation]]=1,"M",""),"Star")</f>
        <v>AM</v>
      </c>
      <c r="Q181" s="21" t="str">
        <f>IF(TeamT[[#This Row],[General]]=2,"G","")&amp;IF(TeamT[[#This Row],[Agility]]=2,"A","")&amp;IF(TeamT[[#This Row],[Strength]]=2,"S","")&amp;IF(TeamT[[#This Row],[Passing]]=2,"P","")&amp;IF(TeamT[[#This Row],[Mutation]]=2,"M","")</f>
        <v>GS</v>
      </c>
      <c r="R181" s="212"/>
      <c r="S181" s="21">
        <v>3</v>
      </c>
      <c r="T181" s="21">
        <v>4</v>
      </c>
      <c r="U181" s="21">
        <v>8</v>
      </c>
    </row>
    <row r="182" spans="1:21" x14ac:dyDescent="0.15">
      <c r="A182" s="104" t="s">
        <v>613</v>
      </c>
      <c r="B182" s="6" t="s">
        <v>592</v>
      </c>
      <c r="C182" s="6">
        <v>40000</v>
      </c>
      <c r="D182" s="6">
        <v>12</v>
      </c>
      <c r="E182" s="6">
        <v>6</v>
      </c>
      <c r="F182" s="6">
        <v>3</v>
      </c>
      <c r="G182" s="6" t="s">
        <v>36</v>
      </c>
      <c r="H182" s="6" t="s">
        <v>40</v>
      </c>
      <c r="I182" s="6" t="s">
        <v>38</v>
      </c>
      <c r="J182" s="21"/>
      <c r="K182" s="21">
        <v>1</v>
      </c>
      <c r="L182" s="21">
        <v>2</v>
      </c>
      <c r="M182" s="21">
        <v>2</v>
      </c>
      <c r="N182" s="21">
        <v>0</v>
      </c>
      <c r="O182" s="21">
        <v>0</v>
      </c>
      <c r="P182" s="23" t="str">
        <f>IF(TeamT[[#This Row],[General]]+TeamT[[#This Row],[Agility]]+TeamT[[#This Row],[Strength]]+TeamT[[#This Row],[Passing]]+TeamT[[#This Row],[Mutation]]&gt;0,IF(TeamT[[#This Row],[General]]=1,"G","")&amp;IF(TeamT[[#This Row],[Agility]]=1,"A","")&amp;IF(TeamT[[#This Row],[Strength]]=1,"S","")&amp;IF(TeamT[[#This Row],[Passing]]=1,"P","")&amp;IF(TeamT[[#This Row],[Mutation]]=1,"M",""),"Star")</f>
        <v>G</v>
      </c>
      <c r="Q182" s="23" t="str">
        <f>IF(TeamT[[#This Row],[General]]=2,"G","")&amp;IF(TeamT[[#This Row],[Agility]]=2,"A","")&amp;IF(TeamT[[#This Row],[Strength]]=2,"S","")&amp;IF(TeamT[[#This Row],[Passing]]=2,"P","")&amp;IF(TeamT[[#This Row],[Mutation]]=2,"M","")</f>
        <v>AS</v>
      </c>
      <c r="R182" s="212"/>
      <c r="S182" s="21">
        <v>3</v>
      </c>
      <c r="T182" s="21">
        <v>5</v>
      </c>
      <c r="U182" s="21">
        <v>8</v>
      </c>
    </row>
    <row r="183" spans="1:21" x14ac:dyDescent="0.15">
      <c r="A183" s="104" t="s">
        <v>614</v>
      </c>
      <c r="B183" s="6" t="s">
        <v>592</v>
      </c>
      <c r="C183" s="6">
        <v>110000</v>
      </c>
      <c r="D183" s="6">
        <v>6</v>
      </c>
      <c r="E183" s="6">
        <v>6</v>
      </c>
      <c r="F183" s="6">
        <v>4</v>
      </c>
      <c r="G183" s="6" t="s">
        <v>59</v>
      </c>
      <c r="H183" s="6" t="s">
        <v>36</v>
      </c>
      <c r="I183" s="6" t="s">
        <v>46</v>
      </c>
      <c r="J183" s="21" t="s">
        <v>620</v>
      </c>
      <c r="K183" s="21">
        <v>1</v>
      </c>
      <c r="L183" s="21">
        <v>1</v>
      </c>
      <c r="M183" s="21">
        <v>1</v>
      </c>
      <c r="N183" s="21">
        <v>2</v>
      </c>
      <c r="O183" s="21">
        <v>0</v>
      </c>
      <c r="P183" s="23" t="str">
        <f>IF(TeamT[[#This Row],[General]]+TeamT[[#This Row],[Agility]]+TeamT[[#This Row],[Strength]]+TeamT[[#This Row],[Passing]]+TeamT[[#This Row],[Mutation]]&gt;0,IF(TeamT[[#This Row],[General]]=1,"G","")&amp;IF(TeamT[[#This Row],[Agility]]=1,"A","")&amp;IF(TeamT[[#This Row],[Strength]]=1,"S","")&amp;IF(TeamT[[#This Row],[Passing]]=1,"P","")&amp;IF(TeamT[[#This Row],[Mutation]]=1,"M",""),"Star")</f>
        <v>GAS</v>
      </c>
      <c r="Q183" s="23" t="str">
        <f>IF(TeamT[[#This Row],[General]]=2,"G","")&amp;IF(TeamT[[#This Row],[Agility]]=2,"A","")&amp;IF(TeamT[[#This Row],[Strength]]=2,"S","")&amp;IF(TeamT[[#This Row],[Passing]]=2,"P","")&amp;IF(TeamT[[#This Row],[Mutation]]=2,"M","")</f>
        <v>P</v>
      </c>
      <c r="R183" s="212"/>
      <c r="S183" s="21">
        <v>2</v>
      </c>
      <c r="T183" s="21">
        <v>3</v>
      </c>
      <c r="U183" s="21">
        <v>9</v>
      </c>
    </row>
    <row r="184" spans="1:21" x14ac:dyDescent="0.15">
      <c r="A184" s="104" t="s">
        <v>615</v>
      </c>
      <c r="B184" s="6" t="s">
        <v>592</v>
      </c>
      <c r="C184" s="6">
        <v>40000</v>
      </c>
      <c r="D184" s="6">
        <v>11</v>
      </c>
      <c r="E184" s="6">
        <v>6</v>
      </c>
      <c r="F184" s="6">
        <v>3</v>
      </c>
      <c r="G184" s="6" t="s">
        <v>36</v>
      </c>
      <c r="H184" s="6" t="s">
        <v>40</v>
      </c>
      <c r="I184" s="6" t="s">
        <v>38</v>
      </c>
      <c r="J184" s="21" t="s">
        <v>65</v>
      </c>
      <c r="K184" s="21">
        <v>1</v>
      </c>
      <c r="L184" s="21">
        <v>2</v>
      </c>
      <c r="M184" s="21">
        <v>2</v>
      </c>
      <c r="N184" s="21">
        <v>0</v>
      </c>
      <c r="O184" s="21">
        <v>0</v>
      </c>
      <c r="P184" s="23" t="str">
        <f>IF(TeamT[[#This Row],[General]]+TeamT[[#This Row],[Agility]]+TeamT[[#This Row],[Strength]]+TeamT[[#This Row],[Passing]]+TeamT[[#This Row],[Mutation]]&gt;0,IF(TeamT[[#This Row],[General]]=1,"G","")&amp;IF(TeamT[[#This Row],[Agility]]=1,"A","")&amp;IF(TeamT[[#This Row],[Strength]]=1,"S","")&amp;IF(TeamT[[#This Row],[Passing]]=1,"P","")&amp;IF(TeamT[[#This Row],[Mutation]]=1,"M",""),"Star")</f>
        <v>G</v>
      </c>
      <c r="Q184" s="23" t="str">
        <f>IF(TeamT[[#This Row],[General]]=2,"G","")&amp;IF(TeamT[[#This Row],[Agility]]=2,"A","")&amp;IF(TeamT[[#This Row],[Strength]]=2,"S","")&amp;IF(TeamT[[#This Row],[Passing]]=2,"P","")&amp;IF(TeamT[[#This Row],[Mutation]]=2,"M","")</f>
        <v>AS</v>
      </c>
      <c r="R184" s="212"/>
      <c r="S184" s="21">
        <v>3</v>
      </c>
      <c r="T184" s="21">
        <v>5</v>
      </c>
      <c r="U184" s="21">
        <v>8</v>
      </c>
    </row>
    <row r="185" spans="1:21" x14ac:dyDescent="0.15">
      <c r="A185" s="214" t="s">
        <v>508</v>
      </c>
      <c r="B185" s="6" t="s">
        <v>491</v>
      </c>
      <c r="C185" s="6">
        <v>70000</v>
      </c>
      <c r="D185" s="6">
        <v>12</v>
      </c>
      <c r="E185" s="6">
        <v>7</v>
      </c>
      <c r="F185" s="6">
        <v>3</v>
      </c>
      <c r="G185" s="6" t="s">
        <v>59</v>
      </c>
      <c r="H185" s="6" t="s">
        <v>37</v>
      </c>
      <c r="I185" s="6" t="s">
        <v>38</v>
      </c>
      <c r="J185" s="21"/>
      <c r="K185" s="21">
        <v>1</v>
      </c>
      <c r="L185" s="21">
        <v>1</v>
      </c>
      <c r="M185" s="21">
        <v>2</v>
      </c>
      <c r="N185" s="21">
        <v>0</v>
      </c>
      <c r="O185" s="21">
        <v>0</v>
      </c>
      <c r="P185" s="21" t="str">
        <f>IF(TeamT[[#This Row],[General]]+TeamT[[#This Row],[Agility]]+TeamT[[#This Row],[Strength]]+TeamT[[#This Row],[Passing]]+TeamT[[#This Row],[Mutation]]&gt;0,IF(TeamT[[#This Row],[General]]=1,"G","")&amp;IF(TeamT[[#This Row],[Agility]]=1,"A","")&amp;IF(TeamT[[#This Row],[Strength]]=1,"S","")&amp;IF(TeamT[[#This Row],[Passing]]=1,"P","")&amp;IF(TeamT[[#This Row],[Mutation]]=1,"M",""),"Star")</f>
        <v>GA</v>
      </c>
      <c r="Q185" s="21" t="str">
        <f>IF(TeamT[[#This Row],[General]]=2,"G","")&amp;IF(TeamT[[#This Row],[Agility]]=2,"A","")&amp;IF(TeamT[[#This Row],[Strength]]=2,"S","")&amp;IF(TeamT[[#This Row],[Passing]]=2,"P","")&amp;IF(TeamT[[#This Row],[Mutation]]=2,"M","")</f>
        <v>S</v>
      </c>
      <c r="R185" s="212"/>
      <c r="S185" s="21">
        <v>2</v>
      </c>
      <c r="T185" s="21">
        <v>4</v>
      </c>
      <c r="U185" s="21">
        <v>8</v>
      </c>
    </row>
    <row r="186" spans="1:21" x14ac:dyDescent="0.15">
      <c r="A186" s="214" t="s">
        <v>202</v>
      </c>
      <c r="B186" s="6" t="s">
        <v>491</v>
      </c>
      <c r="C186" s="6">
        <v>95000</v>
      </c>
      <c r="D186" s="6">
        <v>2</v>
      </c>
      <c r="E186" s="6">
        <v>7</v>
      </c>
      <c r="F186" s="6">
        <v>3</v>
      </c>
      <c r="G186" s="6" t="s">
        <v>59</v>
      </c>
      <c r="H186" s="6" t="s">
        <v>59</v>
      </c>
      <c r="I186" s="6" t="s">
        <v>38</v>
      </c>
      <c r="J186" s="21" t="s">
        <v>6</v>
      </c>
      <c r="K186" s="21">
        <v>1</v>
      </c>
      <c r="L186" s="21">
        <v>1</v>
      </c>
      <c r="M186" s="21">
        <v>2</v>
      </c>
      <c r="N186" s="21">
        <v>1</v>
      </c>
      <c r="O186" s="21">
        <v>0</v>
      </c>
      <c r="P186" s="21" t="str">
        <f>IF(TeamT[[#This Row],[General]]+TeamT[[#This Row],[Agility]]+TeamT[[#This Row],[Strength]]+TeamT[[#This Row],[Passing]]+TeamT[[#This Row],[Mutation]]&gt;0,IF(TeamT[[#This Row],[General]]=1,"G","")&amp;IF(TeamT[[#This Row],[Agility]]=1,"A","")&amp;IF(TeamT[[#This Row],[Strength]]=1,"S","")&amp;IF(TeamT[[#This Row],[Passing]]=1,"P","")&amp;IF(TeamT[[#This Row],[Mutation]]=1,"M",""),"Star")</f>
        <v>GAP</v>
      </c>
      <c r="Q186" s="21" t="str">
        <f>IF(TeamT[[#This Row],[General]]=2,"G","")&amp;IF(TeamT[[#This Row],[Agility]]=2,"A","")&amp;IF(TeamT[[#This Row],[Strength]]=2,"S","")&amp;IF(TeamT[[#This Row],[Passing]]=2,"P","")&amp;IF(TeamT[[#This Row],[Mutation]]=2,"M","")</f>
        <v>S</v>
      </c>
      <c r="R186" s="212"/>
      <c r="S186" s="21">
        <v>2</v>
      </c>
      <c r="T186" s="21">
        <v>2</v>
      </c>
      <c r="U186" s="21">
        <v>8</v>
      </c>
    </row>
    <row r="187" spans="1:21" x14ac:dyDescent="0.15">
      <c r="A187" s="214" t="s">
        <v>203</v>
      </c>
      <c r="B187" s="6" t="s">
        <v>491</v>
      </c>
      <c r="C187" s="6">
        <v>90000</v>
      </c>
      <c r="D187" s="6">
        <v>4</v>
      </c>
      <c r="E187" s="6">
        <v>8</v>
      </c>
      <c r="F187" s="6">
        <v>2</v>
      </c>
      <c r="G187" s="6" t="s">
        <v>59</v>
      </c>
      <c r="H187" s="6" t="s">
        <v>37</v>
      </c>
      <c r="I187" s="6" t="s">
        <v>38</v>
      </c>
      <c r="J187" s="21" t="s">
        <v>114</v>
      </c>
      <c r="K187" s="21">
        <v>1</v>
      </c>
      <c r="L187" s="21">
        <v>1</v>
      </c>
      <c r="M187" s="21">
        <v>2</v>
      </c>
      <c r="N187" s="21">
        <v>2</v>
      </c>
      <c r="O187" s="21">
        <v>0</v>
      </c>
      <c r="P187" s="21" t="str">
        <f>IF(TeamT[[#This Row],[General]]+TeamT[[#This Row],[Agility]]+TeamT[[#This Row],[Strength]]+TeamT[[#This Row],[Passing]]+TeamT[[#This Row],[Mutation]]&gt;0,IF(TeamT[[#This Row],[General]]=1,"G","")&amp;IF(TeamT[[#This Row],[Agility]]=1,"A","")&amp;IF(TeamT[[#This Row],[Strength]]=1,"S","")&amp;IF(TeamT[[#This Row],[Passing]]=1,"P","")&amp;IF(TeamT[[#This Row],[Mutation]]=1,"M",""),"Star")</f>
        <v>GA</v>
      </c>
      <c r="Q187" s="21" t="str">
        <f>IF(TeamT[[#This Row],[General]]=2,"G","")&amp;IF(TeamT[[#This Row],[Agility]]=2,"A","")&amp;IF(TeamT[[#This Row],[Strength]]=2,"S","")&amp;IF(TeamT[[#This Row],[Passing]]=2,"P","")&amp;IF(TeamT[[#This Row],[Mutation]]=2,"M","")</f>
        <v>SP</v>
      </c>
      <c r="R187" s="212"/>
      <c r="S187" s="21">
        <v>2</v>
      </c>
      <c r="T187" s="21">
        <v>4</v>
      </c>
      <c r="U187" s="21">
        <v>8</v>
      </c>
    </row>
    <row r="188" spans="1:21" x14ac:dyDescent="0.15">
      <c r="A188" s="214" t="s">
        <v>204</v>
      </c>
      <c r="B188" s="6" t="s">
        <v>491</v>
      </c>
      <c r="C188" s="6">
        <v>125000</v>
      </c>
      <c r="D188" s="6">
        <v>2</v>
      </c>
      <c r="E188" s="6">
        <v>8</v>
      </c>
      <c r="F188" s="6">
        <v>3</v>
      </c>
      <c r="G188" s="6" t="s">
        <v>59</v>
      </c>
      <c r="H188" s="6" t="s">
        <v>37</v>
      </c>
      <c r="I188" s="6" t="s">
        <v>38</v>
      </c>
      <c r="J188" s="21" t="s">
        <v>206</v>
      </c>
      <c r="K188" s="21">
        <v>1</v>
      </c>
      <c r="L188" s="21">
        <v>1</v>
      </c>
      <c r="M188" s="21">
        <v>2</v>
      </c>
      <c r="N188" s="21">
        <v>2</v>
      </c>
      <c r="O188" s="21">
        <v>0</v>
      </c>
      <c r="P188" s="21" t="str">
        <f>IF(TeamT[[#This Row],[General]]+TeamT[[#This Row],[Agility]]+TeamT[[#This Row],[Strength]]+TeamT[[#This Row],[Passing]]+TeamT[[#This Row],[Mutation]]&gt;0,IF(TeamT[[#This Row],[General]]=1,"G","")&amp;IF(TeamT[[#This Row],[Agility]]=1,"A","")&amp;IF(TeamT[[#This Row],[Strength]]=1,"S","")&amp;IF(TeamT[[#This Row],[Passing]]=1,"P","")&amp;IF(TeamT[[#This Row],[Mutation]]=1,"M",""),"Star")</f>
        <v>GA</v>
      </c>
      <c r="Q188" s="21" t="str">
        <f>IF(TeamT[[#This Row],[General]]=2,"G","")&amp;IF(TeamT[[#This Row],[Agility]]=2,"A","")&amp;IF(TeamT[[#This Row],[Strength]]=2,"S","")&amp;IF(TeamT[[#This Row],[Passing]]=2,"P","")&amp;IF(TeamT[[#This Row],[Mutation]]=2,"M","")</f>
        <v>SP</v>
      </c>
      <c r="R188" s="212"/>
      <c r="S188" s="21">
        <v>2</v>
      </c>
      <c r="T188" s="21">
        <v>4</v>
      </c>
      <c r="U188" s="21">
        <v>8</v>
      </c>
    </row>
    <row r="189" spans="1:21" x14ac:dyDescent="0.15">
      <c r="A189" s="214" t="s">
        <v>205</v>
      </c>
      <c r="B189" s="6" t="s">
        <v>491</v>
      </c>
      <c r="C189" s="6">
        <v>120000</v>
      </c>
      <c r="D189" s="6">
        <v>1</v>
      </c>
      <c r="E189" s="6">
        <v>2</v>
      </c>
      <c r="F189" s="6">
        <v>6</v>
      </c>
      <c r="G189" s="6" t="s">
        <v>40</v>
      </c>
      <c r="H189" s="6" t="s">
        <v>40</v>
      </c>
      <c r="I189" s="6" t="s">
        <v>82</v>
      </c>
      <c r="J189" s="21" t="s">
        <v>207</v>
      </c>
      <c r="K189" s="21">
        <v>2</v>
      </c>
      <c r="L189" s="21">
        <v>2</v>
      </c>
      <c r="M189" s="21">
        <v>1</v>
      </c>
      <c r="N189" s="21">
        <v>0</v>
      </c>
      <c r="O189" s="21">
        <v>0</v>
      </c>
      <c r="P189" s="21" t="str">
        <f>IF(TeamT[[#This Row],[General]]+TeamT[[#This Row],[Agility]]+TeamT[[#This Row],[Strength]]+TeamT[[#This Row],[Passing]]+TeamT[[#This Row],[Mutation]]&gt;0,IF(TeamT[[#This Row],[General]]=1,"G","")&amp;IF(TeamT[[#This Row],[Agility]]=1,"A","")&amp;IF(TeamT[[#This Row],[Strength]]=1,"S","")&amp;IF(TeamT[[#This Row],[Passing]]=1,"P","")&amp;IF(TeamT[[#This Row],[Mutation]]=1,"M",""),"Star")</f>
        <v>S</v>
      </c>
      <c r="Q189" s="21" t="str">
        <f>IF(TeamT[[#This Row],[General]]=2,"G","")&amp;IF(TeamT[[#This Row],[Agility]]=2,"A","")&amp;IF(TeamT[[#This Row],[Strength]]=2,"S","")&amp;IF(TeamT[[#This Row],[Passing]]=2,"P","")&amp;IF(TeamT[[#This Row],[Mutation]]=2,"M","")</f>
        <v>GA</v>
      </c>
      <c r="R189" s="212"/>
      <c r="S189" s="21">
        <v>5</v>
      </c>
      <c r="T189" s="21">
        <v>5</v>
      </c>
      <c r="U189" s="21">
        <v>11</v>
      </c>
    </row>
    <row r="190" spans="1:21" x14ac:dyDescent="0.15">
      <c r="A190" s="214" t="s">
        <v>555</v>
      </c>
      <c r="B190" s="6" t="s">
        <v>491</v>
      </c>
      <c r="C190" s="6">
        <v>70000</v>
      </c>
      <c r="D190" s="6">
        <v>11</v>
      </c>
      <c r="E190" s="6">
        <v>7</v>
      </c>
      <c r="F190" s="6">
        <v>3</v>
      </c>
      <c r="G190" s="6" t="s">
        <v>59</v>
      </c>
      <c r="H190" s="6" t="s">
        <v>37</v>
      </c>
      <c r="I190" s="6" t="s">
        <v>38</v>
      </c>
      <c r="J190" s="21" t="s">
        <v>65</v>
      </c>
      <c r="K190" s="21">
        <v>1</v>
      </c>
      <c r="L190" s="21">
        <v>1</v>
      </c>
      <c r="M190" s="21">
        <v>2</v>
      </c>
      <c r="N190" s="21">
        <v>0</v>
      </c>
      <c r="O190" s="21">
        <v>0</v>
      </c>
      <c r="P190" s="21" t="str">
        <f>IF(TeamT[[#This Row],[General]]+TeamT[[#This Row],[Agility]]+TeamT[[#This Row],[Strength]]+TeamT[[#This Row],[Passing]]+TeamT[[#This Row],[Mutation]]&gt;0,IF(TeamT[[#This Row],[General]]=1,"G","")&amp;IF(TeamT[[#This Row],[Agility]]=1,"A","")&amp;IF(TeamT[[#This Row],[Strength]]=1,"S","")&amp;IF(TeamT[[#This Row],[Passing]]=1,"P","")&amp;IF(TeamT[[#This Row],[Mutation]]=1,"M",""),"Star")</f>
        <v>GA</v>
      </c>
      <c r="Q190" s="21" t="str">
        <f>IF(TeamT[[#This Row],[General]]=2,"G","")&amp;IF(TeamT[[#This Row],[Agility]]=2,"A","")&amp;IF(TeamT[[#This Row],[Strength]]=2,"S","")&amp;IF(TeamT[[#This Row],[Passing]]=2,"P","")&amp;IF(TeamT[[#This Row],[Mutation]]=2,"M","")</f>
        <v>S</v>
      </c>
      <c r="R190" s="212"/>
      <c r="S190" s="21">
        <v>2</v>
      </c>
      <c r="T190" s="21">
        <v>4</v>
      </c>
      <c r="U190" s="21">
        <v>8</v>
      </c>
    </row>
    <row r="191" spans="1:21" x14ac:dyDescent="0.15">
      <c r="A191" s="214" t="s">
        <v>526</v>
      </c>
      <c r="B191" s="6" t="s">
        <v>584</v>
      </c>
      <c r="C191" s="6">
        <v>0</v>
      </c>
      <c r="D191" s="6">
        <v>1</v>
      </c>
      <c r="E191" s="6">
        <v>5</v>
      </c>
      <c r="F191" s="6">
        <v>2</v>
      </c>
      <c r="G191" s="6" t="s">
        <v>36</v>
      </c>
      <c r="H191" s="6" t="s">
        <v>96</v>
      </c>
      <c r="I191" s="6" t="s">
        <v>103</v>
      </c>
      <c r="J191" s="6" t="s">
        <v>401</v>
      </c>
      <c r="K191" s="21">
        <v>0</v>
      </c>
      <c r="L191" s="21">
        <v>0</v>
      </c>
      <c r="M191" s="21">
        <v>0</v>
      </c>
      <c r="N191" s="21">
        <v>0</v>
      </c>
      <c r="O191" s="21">
        <v>0</v>
      </c>
      <c r="P191" s="21" t="str">
        <f>IF(TeamT[[#This Row],[General]]+TeamT[[#This Row],[Agility]]+TeamT[[#This Row],[Strength]]+TeamT[[#This Row],[Passing]]+TeamT[[#This Row],[Mutation]]&gt;0,IF(TeamT[[#This Row],[General]]=1,"G","")&amp;IF(TeamT[[#This Row],[Agility]]=1,"A","")&amp;IF(TeamT[[#This Row],[Strength]]=1,"S","")&amp;IF(TeamT[[#This Row],[Passing]]=1,"P","")&amp;IF(TeamT[[#This Row],[Mutation]]=1,"M",""),"Star")</f>
        <v>Star</v>
      </c>
      <c r="Q191" s="21" t="str">
        <f>IF(TeamT[[#This Row],[General]]=2,"G","")&amp;IF(TeamT[[#This Row],[Agility]]=2,"A","")&amp;IF(TeamT[[#This Row],[Strength]]=2,"S","")&amp;IF(TeamT[[#This Row],[Passing]]=2,"P","")&amp;IF(TeamT[[#This Row],[Mutation]]=2,"M","")</f>
        <v/>
      </c>
      <c r="R191" s="210"/>
      <c r="S191" s="6">
        <v>3</v>
      </c>
      <c r="T191" s="6">
        <v>6</v>
      </c>
      <c r="U191" s="6">
        <v>7</v>
      </c>
    </row>
    <row r="192" spans="1:21" ht="60.75" x14ac:dyDescent="0.15">
      <c r="A192" s="214" t="s">
        <v>469</v>
      </c>
      <c r="B192" s="6" t="s">
        <v>584</v>
      </c>
      <c r="C192" s="6">
        <v>280000</v>
      </c>
      <c r="D192" s="6">
        <v>1</v>
      </c>
      <c r="E192" s="6">
        <v>2</v>
      </c>
      <c r="F192" s="6">
        <v>7</v>
      </c>
      <c r="G192" s="6" t="s">
        <v>40</v>
      </c>
      <c r="H192" s="6" t="s">
        <v>37</v>
      </c>
      <c r="I192" s="6" t="s">
        <v>82</v>
      </c>
      <c r="J192" s="6" t="s">
        <v>400</v>
      </c>
      <c r="K192" s="21">
        <v>0</v>
      </c>
      <c r="L192" s="21">
        <v>0</v>
      </c>
      <c r="M192" s="21">
        <v>0</v>
      </c>
      <c r="N192" s="21">
        <v>0</v>
      </c>
      <c r="O192" s="21">
        <v>0</v>
      </c>
      <c r="P192" s="21" t="str">
        <f>IF(TeamT[[#This Row],[General]]+TeamT[[#This Row],[Agility]]+TeamT[[#This Row],[Strength]]+TeamT[[#This Row],[Passing]]+TeamT[[#This Row],[Mutation]]&gt;0,IF(TeamT[[#This Row],[General]]=1,"G","")&amp;IF(TeamT[[#This Row],[Agility]]=1,"A","")&amp;IF(TeamT[[#This Row],[Strength]]=1,"S","")&amp;IF(TeamT[[#This Row],[Passing]]=1,"P","")&amp;IF(TeamT[[#This Row],[Mutation]]=1,"M",""),"Star")</f>
        <v>Star</v>
      </c>
      <c r="Q192" s="21" t="str">
        <f>IF(TeamT[[#This Row],[General]]=2,"G","")&amp;IF(TeamT[[#This Row],[Agility]]=2,"A","")&amp;IF(TeamT[[#This Row],[Strength]]=2,"S","")&amp;IF(TeamT[[#This Row],[Passing]]=2,"P","")&amp;IF(TeamT[[#This Row],[Mutation]]=2,"M","")</f>
        <v/>
      </c>
      <c r="R192" s="210" t="s">
        <v>667</v>
      </c>
      <c r="S192" s="6">
        <v>5</v>
      </c>
      <c r="T192" s="6">
        <v>4</v>
      </c>
      <c r="U192" s="6">
        <v>11</v>
      </c>
    </row>
    <row r="193" spans="1:21" ht="48.75" x14ac:dyDescent="0.15">
      <c r="A193" s="214" t="s">
        <v>522</v>
      </c>
      <c r="B193" s="6" t="s">
        <v>584</v>
      </c>
      <c r="C193" s="6">
        <v>230000</v>
      </c>
      <c r="D193" s="6">
        <v>1</v>
      </c>
      <c r="E193" s="6">
        <v>8</v>
      </c>
      <c r="F193" s="6">
        <v>3</v>
      </c>
      <c r="G193" s="6" t="s">
        <v>59</v>
      </c>
      <c r="H193" s="6" t="s">
        <v>40</v>
      </c>
      <c r="I193" s="6" t="s">
        <v>38</v>
      </c>
      <c r="J193" s="6" t="s">
        <v>396</v>
      </c>
      <c r="K193" s="21">
        <v>0</v>
      </c>
      <c r="L193" s="21">
        <v>0</v>
      </c>
      <c r="M193" s="21">
        <v>0</v>
      </c>
      <c r="N193" s="21">
        <v>0</v>
      </c>
      <c r="O193" s="21">
        <v>0</v>
      </c>
      <c r="P193" s="21" t="str">
        <f>IF(TeamT[[#This Row],[General]]+TeamT[[#This Row],[Agility]]+TeamT[[#This Row],[Strength]]+TeamT[[#This Row],[Passing]]+TeamT[[#This Row],[Mutation]]&gt;0,IF(TeamT[[#This Row],[General]]=1,"G","")&amp;IF(TeamT[[#This Row],[Agility]]=1,"A","")&amp;IF(TeamT[[#This Row],[Strength]]=1,"S","")&amp;IF(TeamT[[#This Row],[Passing]]=1,"P","")&amp;IF(TeamT[[#This Row],[Mutation]]=1,"M",""),"Star")</f>
        <v>Star</v>
      </c>
      <c r="Q193" s="21" t="str">
        <f>IF(TeamT[[#This Row],[General]]=2,"G","")&amp;IF(TeamT[[#This Row],[Agility]]=2,"A","")&amp;IF(TeamT[[#This Row],[Strength]]=2,"S","")&amp;IF(TeamT[[#This Row],[Passing]]=2,"P","")&amp;IF(TeamT[[#This Row],[Mutation]]=2,"M","")</f>
        <v/>
      </c>
      <c r="R193" s="210" t="s">
        <v>668</v>
      </c>
      <c r="S193" s="6">
        <v>2</v>
      </c>
      <c r="T193" s="6">
        <v>5</v>
      </c>
      <c r="U193" s="6">
        <v>8</v>
      </c>
    </row>
    <row r="194" spans="1:21" ht="117.75" x14ac:dyDescent="0.15">
      <c r="A194" s="214" t="s">
        <v>519</v>
      </c>
      <c r="B194" s="6" t="s">
        <v>584</v>
      </c>
      <c r="C194" s="6">
        <v>250000</v>
      </c>
      <c r="D194" s="6">
        <v>1</v>
      </c>
      <c r="E194" s="6">
        <v>5</v>
      </c>
      <c r="F194" s="6">
        <v>5</v>
      </c>
      <c r="G194" s="6" t="s">
        <v>37</v>
      </c>
      <c r="H194" s="6" t="s">
        <v>37</v>
      </c>
      <c r="I194" s="6" t="s">
        <v>41</v>
      </c>
      <c r="J194" s="6" t="s">
        <v>399</v>
      </c>
      <c r="K194" s="21">
        <v>0</v>
      </c>
      <c r="L194" s="21">
        <v>0</v>
      </c>
      <c r="M194" s="21">
        <v>0</v>
      </c>
      <c r="N194" s="21">
        <v>0</v>
      </c>
      <c r="O194" s="21">
        <v>0</v>
      </c>
      <c r="P194" s="21" t="str">
        <f>IF(TeamT[[#This Row],[General]]+TeamT[[#This Row],[Agility]]+TeamT[[#This Row],[Strength]]+TeamT[[#This Row],[Passing]]+TeamT[[#This Row],[Mutation]]&gt;0,IF(TeamT[[#This Row],[General]]=1,"G","")&amp;IF(TeamT[[#This Row],[Agility]]=1,"A","")&amp;IF(TeamT[[#This Row],[Strength]]=1,"S","")&amp;IF(TeamT[[#This Row],[Passing]]=1,"P","")&amp;IF(TeamT[[#This Row],[Mutation]]=1,"M",""),"Star")</f>
        <v>Star</v>
      </c>
      <c r="Q194" s="21" t="str">
        <f>IF(TeamT[[#This Row],[General]]=2,"G","")&amp;IF(TeamT[[#This Row],[Agility]]=2,"A","")&amp;IF(TeamT[[#This Row],[Strength]]=2,"S","")&amp;IF(TeamT[[#This Row],[Passing]]=2,"P","")&amp;IF(TeamT[[#This Row],[Mutation]]=2,"M","")</f>
        <v/>
      </c>
      <c r="R194" s="210" t="s">
        <v>669</v>
      </c>
      <c r="S194" s="6">
        <v>4</v>
      </c>
      <c r="T194" s="6">
        <v>4</v>
      </c>
      <c r="U194" s="6">
        <v>10</v>
      </c>
    </row>
    <row r="195" spans="1:21" ht="106.5" x14ac:dyDescent="0.15">
      <c r="A195" s="214" t="s">
        <v>466</v>
      </c>
      <c r="B195" s="6" t="s">
        <v>584</v>
      </c>
      <c r="C195" s="6">
        <v>195000</v>
      </c>
      <c r="D195" s="6">
        <v>1</v>
      </c>
      <c r="E195" s="6">
        <v>5</v>
      </c>
      <c r="F195" s="6">
        <v>4</v>
      </c>
      <c r="G195" s="6" t="s">
        <v>37</v>
      </c>
      <c r="H195" s="6" t="s">
        <v>53</v>
      </c>
      <c r="I195" s="6" t="s">
        <v>46</v>
      </c>
      <c r="J195" s="6" t="s">
        <v>397</v>
      </c>
      <c r="K195" s="21">
        <v>0</v>
      </c>
      <c r="L195" s="21">
        <v>0</v>
      </c>
      <c r="M195" s="21">
        <v>0</v>
      </c>
      <c r="N195" s="21">
        <v>0</v>
      </c>
      <c r="O195" s="21">
        <v>0</v>
      </c>
      <c r="P195" s="21" t="str">
        <f>IF(TeamT[[#This Row],[General]]+TeamT[[#This Row],[Agility]]+TeamT[[#This Row],[Strength]]+TeamT[[#This Row],[Passing]]+TeamT[[#This Row],[Mutation]]&gt;0,IF(TeamT[[#This Row],[General]]=1,"G","")&amp;IF(TeamT[[#This Row],[Agility]]=1,"A","")&amp;IF(TeamT[[#This Row],[Strength]]=1,"S","")&amp;IF(TeamT[[#This Row],[Passing]]=1,"P","")&amp;IF(TeamT[[#This Row],[Mutation]]=1,"M",""),"Star")</f>
        <v>Star</v>
      </c>
      <c r="Q195" s="21" t="str">
        <f>IF(TeamT[[#This Row],[General]]=2,"G","")&amp;IF(TeamT[[#This Row],[Agility]]=2,"A","")&amp;IF(TeamT[[#This Row],[Strength]]=2,"S","")&amp;IF(TeamT[[#This Row],[Passing]]=2,"P","")&amp;IF(TeamT[[#This Row],[Mutation]]=2,"M","")</f>
        <v/>
      </c>
      <c r="R195" s="210" t="s">
        <v>670</v>
      </c>
      <c r="S195" s="6">
        <v>4</v>
      </c>
      <c r="T195" s="6" t="s">
        <v>53</v>
      </c>
      <c r="U195" s="6">
        <v>9</v>
      </c>
    </row>
    <row r="196" spans="1:21" ht="72" x14ac:dyDescent="0.15">
      <c r="A196" s="214" t="s">
        <v>462</v>
      </c>
      <c r="B196" s="6" t="s">
        <v>584</v>
      </c>
      <c r="C196" s="6">
        <v>150000</v>
      </c>
      <c r="D196" s="6">
        <v>1</v>
      </c>
      <c r="E196" s="6">
        <v>7</v>
      </c>
      <c r="F196" s="6">
        <v>2</v>
      </c>
      <c r="G196" s="6" t="s">
        <v>59</v>
      </c>
      <c r="H196" s="6" t="s">
        <v>59</v>
      </c>
      <c r="I196" s="6" t="s">
        <v>38</v>
      </c>
      <c r="J196" s="6" t="s">
        <v>398</v>
      </c>
      <c r="K196" s="21">
        <v>0</v>
      </c>
      <c r="L196" s="21">
        <v>0</v>
      </c>
      <c r="M196" s="21">
        <v>0</v>
      </c>
      <c r="N196" s="21">
        <v>0</v>
      </c>
      <c r="O196" s="21">
        <v>0</v>
      </c>
      <c r="P196" s="21" t="str">
        <f>IF(TeamT[[#This Row],[General]]+TeamT[[#This Row],[Agility]]+TeamT[[#This Row],[Strength]]+TeamT[[#This Row],[Passing]]+TeamT[[#This Row],[Mutation]]&gt;0,IF(TeamT[[#This Row],[General]]=1,"G","")&amp;IF(TeamT[[#This Row],[Agility]]=1,"A","")&amp;IF(TeamT[[#This Row],[Strength]]=1,"S","")&amp;IF(TeamT[[#This Row],[Passing]]=1,"P","")&amp;IF(TeamT[[#This Row],[Mutation]]=1,"M",""),"Star")</f>
        <v>Star</v>
      </c>
      <c r="Q196" s="21" t="str">
        <f>IF(TeamT[[#This Row],[General]]=2,"G","")&amp;IF(TeamT[[#This Row],[Agility]]=2,"A","")&amp;IF(TeamT[[#This Row],[Strength]]=2,"S","")&amp;IF(TeamT[[#This Row],[Passing]]=2,"P","")&amp;IF(TeamT[[#This Row],[Mutation]]=2,"M","")</f>
        <v/>
      </c>
      <c r="R196" s="210" t="s">
        <v>671</v>
      </c>
      <c r="S196" s="6">
        <v>2</v>
      </c>
      <c r="T196" s="6">
        <v>2</v>
      </c>
      <c r="U196" s="6">
        <v>8</v>
      </c>
    </row>
    <row r="197" spans="1:21" ht="60.75" x14ac:dyDescent="0.15">
      <c r="A197" s="214" t="s">
        <v>530</v>
      </c>
      <c r="B197" s="6" t="s">
        <v>584</v>
      </c>
      <c r="C197" s="6">
        <v>260000</v>
      </c>
      <c r="D197" s="6">
        <v>1</v>
      </c>
      <c r="E197" s="6">
        <v>7</v>
      </c>
      <c r="F197" s="6">
        <v>3</v>
      </c>
      <c r="G197" s="6" t="s">
        <v>59</v>
      </c>
      <c r="H197" s="6" t="s">
        <v>53</v>
      </c>
      <c r="I197" s="6" t="s">
        <v>46</v>
      </c>
      <c r="J197" s="6" t="s">
        <v>402</v>
      </c>
      <c r="K197" s="21">
        <v>0</v>
      </c>
      <c r="L197" s="21">
        <v>0</v>
      </c>
      <c r="M197" s="21">
        <v>0</v>
      </c>
      <c r="N197" s="21">
        <v>0</v>
      </c>
      <c r="O197" s="21">
        <v>0</v>
      </c>
      <c r="P197" s="21" t="str">
        <f>IF(TeamT[[#This Row],[General]]+TeamT[[#This Row],[Agility]]+TeamT[[#This Row],[Strength]]+TeamT[[#This Row],[Passing]]+TeamT[[#This Row],[Mutation]]&gt;0,IF(TeamT[[#This Row],[General]]=1,"G","")&amp;IF(TeamT[[#This Row],[Agility]]=1,"A","")&amp;IF(TeamT[[#This Row],[Strength]]=1,"S","")&amp;IF(TeamT[[#This Row],[Passing]]=1,"P","")&amp;IF(TeamT[[#This Row],[Mutation]]=1,"M",""),"Star")</f>
        <v>Star</v>
      </c>
      <c r="Q197" s="21" t="str">
        <f>IF(TeamT[[#This Row],[General]]=2,"G","")&amp;IF(TeamT[[#This Row],[Agility]]=2,"A","")&amp;IF(TeamT[[#This Row],[Strength]]=2,"S","")&amp;IF(TeamT[[#This Row],[Passing]]=2,"P","")&amp;IF(TeamT[[#This Row],[Mutation]]=2,"M","")</f>
        <v/>
      </c>
      <c r="R197" s="210" t="s">
        <v>672</v>
      </c>
      <c r="S197" s="6">
        <v>2</v>
      </c>
      <c r="T197" s="6" t="s">
        <v>53</v>
      </c>
      <c r="U197" s="6">
        <v>9</v>
      </c>
    </row>
    <row r="198" spans="1:21" ht="95.25" x14ac:dyDescent="0.15">
      <c r="A198" s="214" t="s">
        <v>470</v>
      </c>
      <c r="B198" s="6" t="s">
        <v>584</v>
      </c>
      <c r="C198" s="6">
        <v>280000</v>
      </c>
      <c r="D198" s="6">
        <v>1</v>
      </c>
      <c r="E198" s="6">
        <v>7</v>
      </c>
      <c r="F198" s="6">
        <v>4</v>
      </c>
      <c r="G198" s="6" t="s">
        <v>59</v>
      </c>
      <c r="H198" s="6" t="s">
        <v>36</v>
      </c>
      <c r="I198" s="6" t="s">
        <v>46</v>
      </c>
      <c r="J198" s="6" t="s">
        <v>403</v>
      </c>
      <c r="K198" s="21">
        <v>0</v>
      </c>
      <c r="L198" s="21">
        <v>0</v>
      </c>
      <c r="M198" s="21">
        <v>0</v>
      </c>
      <c r="N198" s="21">
        <v>0</v>
      </c>
      <c r="O198" s="21">
        <v>0</v>
      </c>
      <c r="P198" s="21" t="str">
        <f>IF(TeamT[[#This Row],[General]]+TeamT[[#This Row],[Agility]]+TeamT[[#This Row],[Strength]]+TeamT[[#This Row],[Passing]]+TeamT[[#This Row],[Mutation]]&gt;0,IF(TeamT[[#This Row],[General]]=1,"G","")&amp;IF(TeamT[[#This Row],[Agility]]=1,"A","")&amp;IF(TeamT[[#This Row],[Strength]]=1,"S","")&amp;IF(TeamT[[#This Row],[Passing]]=1,"P","")&amp;IF(TeamT[[#This Row],[Mutation]]=1,"M",""),"Star")</f>
        <v>Star</v>
      </c>
      <c r="Q198" s="21" t="str">
        <f>IF(TeamT[[#This Row],[General]]=2,"G","")&amp;IF(TeamT[[#This Row],[Agility]]=2,"A","")&amp;IF(TeamT[[#This Row],[Strength]]=2,"S","")&amp;IF(TeamT[[#This Row],[Passing]]=2,"P","")&amp;IF(TeamT[[#This Row],[Mutation]]=2,"M","")</f>
        <v/>
      </c>
      <c r="R198" s="210" t="s">
        <v>673</v>
      </c>
      <c r="S198" s="6">
        <v>2</v>
      </c>
      <c r="T198" s="6">
        <v>3</v>
      </c>
      <c r="U198" s="6">
        <v>9</v>
      </c>
    </row>
    <row r="199" spans="1:21" ht="117.75" x14ac:dyDescent="0.15">
      <c r="A199" s="214" t="s">
        <v>471</v>
      </c>
      <c r="B199" s="6" t="s">
        <v>584</v>
      </c>
      <c r="C199" s="6">
        <v>200000</v>
      </c>
      <c r="D199" s="6">
        <v>1</v>
      </c>
      <c r="E199" s="6">
        <v>5</v>
      </c>
      <c r="F199" s="6">
        <v>4</v>
      </c>
      <c r="G199" s="6" t="s">
        <v>36</v>
      </c>
      <c r="H199" s="6" t="s">
        <v>53</v>
      </c>
      <c r="I199" s="6" t="s">
        <v>46</v>
      </c>
      <c r="J199" s="6" t="s">
        <v>404</v>
      </c>
      <c r="K199" s="21">
        <v>0</v>
      </c>
      <c r="L199" s="21">
        <v>0</v>
      </c>
      <c r="M199" s="21">
        <v>0</v>
      </c>
      <c r="N199" s="21">
        <v>0</v>
      </c>
      <c r="O199" s="21">
        <v>0</v>
      </c>
      <c r="P199" s="21" t="str">
        <f>IF(TeamT[[#This Row],[General]]+TeamT[[#This Row],[Agility]]+TeamT[[#This Row],[Strength]]+TeamT[[#This Row],[Passing]]+TeamT[[#This Row],[Mutation]]&gt;0,IF(TeamT[[#This Row],[General]]=1,"G","")&amp;IF(TeamT[[#This Row],[Agility]]=1,"A","")&amp;IF(TeamT[[#This Row],[Strength]]=1,"S","")&amp;IF(TeamT[[#This Row],[Passing]]=1,"P","")&amp;IF(TeamT[[#This Row],[Mutation]]=1,"M",""),"Star")</f>
        <v>Star</v>
      </c>
      <c r="Q199" s="21" t="str">
        <f>IF(TeamT[[#This Row],[General]]=2,"G","")&amp;IF(TeamT[[#This Row],[Agility]]=2,"A","")&amp;IF(TeamT[[#This Row],[Strength]]=2,"S","")&amp;IF(TeamT[[#This Row],[Passing]]=2,"P","")&amp;IF(TeamT[[#This Row],[Mutation]]=2,"M","")</f>
        <v/>
      </c>
      <c r="R199" s="210" t="s">
        <v>674</v>
      </c>
      <c r="S199" s="6">
        <v>3</v>
      </c>
      <c r="T199" s="6" t="s">
        <v>53</v>
      </c>
      <c r="U199" s="6">
        <v>9</v>
      </c>
    </row>
    <row r="200" spans="1:21" ht="106.5" x14ac:dyDescent="0.15">
      <c r="A200" s="214" t="s">
        <v>473</v>
      </c>
      <c r="B200" s="6" t="s">
        <v>584</v>
      </c>
      <c r="C200" s="6">
        <v>210000</v>
      </c>
      <c r="D200" s="6">
        <v>1</v>
      </c>
      <c r="E200" s="6">
        <v>5</v>
      </c>
      <c r="F200" s="6">
        <v>3</v>
      </c>
      <c r="G200" s="6" t="s">
        <v>36</v>
      </c>
      <c r="H200" s="6" t="s">
        <v>37</v>
      </c>
      <c r="I200" s="6" t="s">
        <v>41</v>
      </c>
      <c r="J200" s="6" t="s">
        <v>419</v>
      </c>
      <c r="K200" s="21">
        <v>0</v>
      </c>
      <c r="L200" s="21">
        <v>0</v>
      </c>
      <c r="M200" s="21">
        <v>0</v>
      </c>
      <c r="N200" s="21">
        <v>0</v>
      </c>
      <c r="O200" s="21">
        <v>0</v>
      </c>
      <c r="P200" s="21" t="str">
        <f>IF(TeamT[[#This Row],[General]]+TeamT[[#This Row],[Agility]]+TeamT[[#This Row],[Strength]]+TeamT[[#This Row],[Passing]]+TeamT[[#This Row],[Mutation]]&gt;0,IF(TeamT[[#This Row],[General]]=1,"G","")&amp;IF(TeamT[[#This Row],[Agility]]=1,"A","")&amp;IF(TeamT[[#This Row],[Strength]]=1,"S","")&amp;IF(TeamT[[#This Row],[Passing]]=1,"P","")&amp;IF(TeamT[[#This Row],[Mutation]]=1,"M",""),"Star")</f>
        <v>Star</v>
      </c>
      <c r="Q200" s="21" t="str">
        <f>IF(TeamT[[#This Row],[General]]=2,"G","")&amp;IF(TeamT[[#This Row],[Agility]]=2,"A","")&amp;IF(TeamT[[#This Row],[Strength]]=2,"S","")&amp;IF(TeamT[[#This Row],[Passing]]=2,"P","")&amp;IF(TeamT[[#This Row],[Mutation]]=2,"M","")</f>
        <v/>
      </c>
      <c r="R200" s="210" t="s">
        <v>675</v>
      </c>
      <c r="S200" s="6">
        <v>3</v>
      </c>
      <c r="T200" s="6">
        <v>4</v>
      </c>
      <c r="U200" s="6">
        <v>10</v>
      </c>
    </row>
    <row r="201" spans="1:21" ht="117.75" x14ac:dyDescent="0.15">
      <c r="A201" s="214" t="s">
        <v>468</v>
      </c>
      <c r="B201" s="6" t="s">
        <v>584</v>
      </c>
      <c r="C201" s="6">
        <v>210000</v>
      </c>
      <c r="D201" s="6">
        <v>1</v>
      </c>
      <c r="E201" s="6">
        <v>9</v>
      </c>
      <c r="F201" s="6">
        <v>3</v>
      </c>
      <c r="G201" s="6" t="s">
        <v>59</v>
      </c>
      <c r="H201" s="6" t="s">
        <v>36</v>
      </c>
      <c r="I201" s="6" t="s">
        <v>38</v>
      </c>
      <c r="J201" s="6" t="s">
        <v>407</v>
      </c>
      <c r="K201" s="21">
        <v>0</v>
      </c>
      <c r="L201" s="21">
        <v>0</v>
      </c>
      <c r="M201" s="21">
        <v>0</v>
      </c>
      <c r="N201" s="21">
        <v>0</v>
      </c>
      <c r="O201" s="21">
        <v>0</v>
      </c>
      <c r="P201" s="21" t="str">
        <f>IF(TeamT[[#This Row],[General]]+TeamT[[#This Row],[Agility]]+TeamT[[#This Row],[Strength]]+TeamT[[#This Row],[Passing]]+TeamT[[#This Row],[Mutation]]&gt;0,IF(TeamT[[#This Row],[General]]=1,"G","")&amp;IF(TeamT[[#This Row],[Agility]]=1,"A","")&amp;IF(TeamT[[#This Row],[Strength]]=1,"S","")&amp;IF(TeamT[[#This Row],[Passing]]=1,"P","")&amp;IF(TeamT[[#This Row],[Mutation]]=1,"M",""),"Star")</f>
        <v>Star</v>
      </c>
      <c r="Q201" s="21" t="str">
        <f>IF(TeamT[[#This Row],[General]]=2,"G","")&amp;IF(TeamT[[#This Row],[Agility]]=2,"A","")&amp;IF(TeamT[[#This Row],[Strength]]=2,"S","")&amp;IF(TeamT[[#This Row],[Passing]]=2,"P","")&amp;IF(TeamT[[#This Row],[Mutation]]=2,"M","")</f>
        <v/>
      </c>
      <c r="R201" s="210" t="s">
        <v>676</v>
      </c>
      <c r="S201" s="6">
        <v>2</v>
      </c>
      <c r="T201" s="6">
        <v>3</v>
      </c>
      <c r="U201" s="6">
        <v>8</v>
      </c>
    </row>
    <row r="202" spans="1:21" ht="48.75" x14ac:dyDescent="0.15">
      <c r="A202" s="214" t="s">
        <v>477</v>
      </c>
      <c r="B202" s="6" t="s">
        <v>584</v>
      </c>
      <c r="C202" s="6">
        <v>140000</v>
      </c>
      <c r="D202" s="6">
        <v>1</v>
      </c>
      <c r="E202" s="6">
        <v>6</v>
      </c>
      <c r="F202" s="6">
        <v>3</v>
      </c>
      <c r="G202" s="6" t="s">
        <v>36</v>
      </c>
      <c r="H202" s="6" t="s">
        <v>53</v>
      </c>
      <c r="I202" s="6" t="s">
        <v>46</v>
      </c>
      <c r="J202" s="6" t="s">
        <v>408</v>
      </c>
      <c r="K202" s="21">
        <v>0</v>
      </c>
      <c r="L202" s="21">
        <v>0</v>
      </c>
      <c r="M202" s="21">
        <v>0</v>
      </c>
      <c r="N202" s="21">
        <v>0</v>
      </c>
      <c r="O202" s="21">
        <v>0</v>
      </c>
      <c r="P202" s="21" t="str">
        <f>IF(TeamT[[#This Row],[General]]+TeamT[[#This Row],[Agility]]+TeamT[[#This Row],[Strength]]+TeamT[[#This Row],[Passing]]+TeamT[[#This Row],[Mutation]]&gt;0,IF(TeamT[[#This Row],[General]]=1,"G","")&amp;IF(TeamT[[#This Row],[Agility]]=1,"A","")&amp;IF(TeamT[[#This Row],[Strength]]=1,"S","")&amp;IF(TeamT[[#This Row],[Passing]]=1,"P","")&amp;IF(TeamT[[#This Row],[Mutation]]=1,"M",""),"Star")</f>
        <v>Star</v>
      </c>
      <c r="Q202" s="21" t="str">
        <f>IF(TeamT[[#This Row],[General]]=2,"G","")&amp;IF(TeamT[[#This Row],[Agility]]=2,"A","")&amp;IF(TeamT[[#This Row],[Strength]]=2,"S","")&amp;IF(TeamT[[#This Row],[Passing]]=2,"P","")&amp;IF(TeamT[[#This Row],[Mutation]]=2,"M","")</f>
        <v/>
      </c>
      <c r="R202" s="210" t="s">
        <v>677</v>
      </c>
      <c r="S202" s="6">
        <v>3</v>
      </c>
      <c r="T202" s="6" t="s">
        <v>53</v>
      </c>
      <c r="U202" s="6">
        <v>9</v>
      </c>
    </row>
    <row r="203" spans="1:21" ht="83.25" x14ac:dyDescent="0.15">
      <c r="A203" s="214" t="s">
        <v>472</v>
      </c>
      <c r="B203" s="6" t="s">
        <v>584</v>
      </c>
      <c r="C203" s="6">
        <v>210000</v>
      </c>
      <c r="D203" s="6">
        <v>1</v>
      </c>
      <c r="E203" s="6">
        <v>6</v>
      </c>
      <c r="F203" s="6">
        <v>4</v>
      </c>
      <c r="G203" s="6" t="s">
        <v>36</v>
      </c>
      <c r="H203" s="6" t="s">
        <v>37</v>
      </c>
      <c r="I203" s="6" t="s">
        <v>46</v>
      </c>
      <c r="J203" s="6" t="s">
        <v>409</v>
      </c>
      <c r="K203" s="21">
        <v>0</v>
      </c>
      <c r="L203" s="21">
        <v>0</v>
      </c>
      <c r="M203" s="21">
        <v>0</v>
      </c>
      <c r="N203" s="21">
        <v>0</v>
      </c>
      <c r="O203" s="21">
        <v>0</v>
      </c>
      <c r="P203" s="21" t="str">
        <f>IF(TeamT[[#This Row],[General]]+TeamT[[#This Row],[Agility]]+TeamT[[#This Row],[Strength]]+TeamT[[#This Row],[Passing]]+TeamT[[#This Row],[Mutation]]&gt;0,IF(TeamT[[#This Row],[General]]=1,"G","")&amp;IF(TeamT[[#This Row],[Agility]]=1,"A","")&amp;IF(TeamT[[#This Row],[Strength]]=1,"S","")&amp;IF(TeamT[[#This Row],[Passing]]=1,"P","")&amp;IF(TeamT[[#This Row],[Mutation]]=1,"M",""),"Star")</f>
        <v>Star</v>
      </c>
      <c r="Q203" s="21" t="str">
        <f>IF(TeamT[[#This Row],[General]]=2,"G","")&amp;IF(TeamT[[#This Row],[Agility]]=2,"A","")&amp;IF(TeamT[[#This Row],[Strength]]=2,"S","")&amp;IF(TeamT[[#This Row],[Passing]]=2,"P","")&amp;IF(TeamT[[#This Row],[Mutation]]=2,"M","")</f>
        <v/>
      </c>
      <c r="R203" s="210" t="s">
        <v>678</v>
      </c>
      <c r="S203" s="6">
        <v>3</v>
      </c>
      <c r="T203" s="6">
        <v>4</v>
      </c>
      <c r="U203" s="6">
        <v>9</v>
      </c>
    </row>
    <row r="204" spans="1:21" ht="117.75" x14ac:dyDescent="0.15">
      <c r="A204" s="214" t="s">
        <v>467</v>
      </c>
      <c r="B204" s="6" t="s">
        <v>584</v>
      </c>
      <c r="C204" s="6">
        <v>260000</v>
      </c>
      <c r="D204" s="6">
        <v>1</v>
      </c>
      <c r="E204" s="6">
        <v>5</v>
      </c>
      <c r="F204" s="6">
        <v>5</v>
      </c>
      <c r="G204" s="6" t="s">
        <v>36</v>
      </c>
      <c r="H204" s="6" t="s">
        <v>40</v>
      </c>
      <c r="I204" s="6" t="s">
        <v>41</v>
      </c>
      <c r="J204" s="6" t="s">
        <v>410</v>
      </c>
      <c r="K204" s="21">
        <v>0</v>
      </c>
      <c r="L204" s="21">
        <v>0</v>
      </c>
      <c r="M204" s="21">
        <v>0</v>
      </c>
      <c r="N204" s="21">
        <v>0</v>
      </c>
      <c r="O204" s="21">
        <v>0</v>
      </c>
      <c r="P204" s="21" t="str">
        <f>IF(TeamT[[#This Row],[General]]+TeamT[[#This Row],[Agility]]+TeamT[[#This Row],[Strength]]+TeamT[[#This Row],[Passing]]+TeamT[[#This Row],[Mutation]]&gt;0,IF(TeamT[[#This Row],[General]]=1,"G","")&amp;IF(TeamT[[#This Row],[Agility]]=1,"A","")&amp;IF(TeamT[[#This Row],[Strength]]=1,"S","")&amp;IF(TeamT[[#This Row],[Passing]]=1,"P","")&amp;IF(TeamT[[#This Row],[Mutation]]=1,"M",""),"Star")</f>
        <v>Star</v>
      </c>
      <c r="Q204" s="21" t="str">
        <f>IF(TeamT[[#This Row],[General]]=2,"G","")&amp;IF(TeamT[[#This Row],[Agility]]=2,"A","")&amp;IF(TeamT[[#This Row],[Strength]]=2,"S","")&amp;IF(TeamT[[#This Row],[Passing]]=2,"P","")&amp;IF(TeamT[[#This Row],[Mutation]]=2,"M","")</f>
        <v/>
      </c>
      <c r="R204" s="210" t="s">
        <v>679</v>
      </c>
      <c r="S204" s="6">
        <v>3</v>
      </c>
      <c r="T204" s="6">
        <v>5</v>
      </c>
      <c r="U204" s="6">
        <v>10</v>
      </c>
    </row>
    <row r="205" spans="1:21" ht="106.5" x14ac:dyDescent="0.15">
      <c r="A205" s="214" t="s">
        <v>531</v>
      </c>
      <c r="B205" s="6" t="s">
        <v>584</v>
      </c>
      <c r="C205" s="6">
        <v>340000</v>
      </c>
      <c r="D205" s="6">
        <v>1</v>
      </c>
      <c r="E205" s="6">
        <v>7</v>
      </c>
      <c r="F205" s="6">
        <v>3</v>
      </c>
      <c r="G205" s="6" t="s">
        <v>59</v>
      </c>
      <c r="H205" s="6" t="s">
        <v>40</v>
      </c>
      <c r="I205" s="6" t="s">
        <v>46</v>
      </c>
      <c r="J205" s="6" t="s">
        <v>416</v>
      </c>
      <c r="K205" s="21">
        <v>0</v>
      </c>
      <c r="L205" s="21">
        <v>0</v>
      </c>
      <c r="M205" s="21">
        <v>0</v>
      </c>
      <c r="N205" s="21">
        <v>0</v>
      </c>
      <c r="O205" s="21">
        <v>0</v>
      </c>
      <c r="P205" s="21" t="str">
        <f>IF(TeamT[[#This Row],[General]]+TeamT[[#This Row],[Agility]]+TeamT[[#This Row],[Strength]]+TeamT[[#This Row],[Passing]]+TeamT[[#This Row],[Mutation]]&gt;0,IF(TeamT[[#This Row],[General]]=1,"G","")&amp;IF(TeamT[[#This Row],[Agility]]=1,"A","")&amp;IF(TeamT[[#This Row],[Strength]]=1,"S","")&amp;IF(TeamT[[#This Row],[Passing]]=1,"P","")&amp;IF(TeamT[[#This Row],[Mutation]]=1,"M",""),"Star")</f>
        <v>Star</v>
      </c>
      <c r="Q205" s="21" t="str">
        <f>IF(TeamT[[#This Row],[General]]=2,"G","")&amp;IF(TeamT[[#This Row],[Agility]]=2,"A","")&amp;IF(TeamT[[#This Row],[Strength]]=2,"S","")&amp;IF(TeamT[[#This Row],[Passing]]=2,"P","")&amp;IF(TeamT[[#This Row],[Mutation]]=2,"M","")</f>
        <v/>
      </c>
      <c r="R205" s="210" t="s">
        <v>680</v>
      </c>
      <c r="S205" s="6">
        <v>2</v>
      </c>
      <c r="T205" s="6">
        <v>5</v>
      </c>
      <c r="U205" s="6">
        <v>9</v>
      </c>
    </row>
    <row r="206" spans="1:21" ht="106.5" x14ac:dyDescent="0.15">
      <c r="A206" s="214" t="s">
        <v>478</v>
      </c>
      <c r="B206" s="6" t="s">
        <v>584</v>
      </c>
      <c r="C206" s="6">
        <v>220000</v>
      </c>
      <c r="D206" s="6">
        <v>1</v>
      </c>
      <c r="E206" s="6">
        <v>4</v>
      </c>
      <c r="F206" s="6">
        <v>5</v>
      </c>
      <c r="G206" s="6" t="s">
        <v>37</v>
      </c>
      <c r="H206" s="6" t="s">
        <v>96</v>
      </c>
      <c r="I206" s="6" t="s">
        <v>41</v>
      </c>
      <c r="J206" s="6" t="s">
        <v>411</v>
      </c>
      <c r="K206" s="21">
        <v>0</v>
      </c>
      <c r="L206" s="21">
        <v>0</v>
      </c>
      <c r="M206" s="21">
        <v>0</v>
      </c>
      <c r="N206" s="21">
        <v>0</v>
      </c>
      <c r="O206" s="21">
        <v>0</v>
      </c>
      <c r="P206" s="21" t="str">
        <f>IF(TeamT[[#This Row],[General]]+TeamT[[#This Row],[Agility]]+TeamT[[#This Row],[Strength]]+TeamT[[#This Row],[Passing]]+TeamT[[#This Row],[Mutation]]&gt;0,IF(TeamT[[#This Row],[General]]=1,"G","")&amp;IF(TeamT[[#This Row],[Agility]]=1,"A","")&amp;IF(TeamT[[#This Row],[Strength]]=1,"S","")&amp;IF(TeamT[[#This Row],[Passing]]=1,"P","")&amp;IF(TeamT[[#This Row],[Mutation]]=1,"M",""),"Star")</f>
        <v>Star</v>
      </c>
      <c r="Q206" s="21" t="str">
        <f>IF(TeamT[[#This Row],[General]]=2,"G","")&amp;IF(TeamT[[#This Row],[Agility]]=2,"A","")&amp;IF(TeamT[[#This Row],[Strength]]=2,"S","")&amp;IF(TeamT[[#This Row],[Passing]]=2,"P","")&amp;IF(TeamT[[#This Row],[Mutation]]=2,"M","")</f>
        <v/>
      </c>
      <c r="R206" s="210" t="s">
        <v>681</v>
      </c>
      <c r="S206" s="6">
        <v>4</v>
      </c>
      <c r="T206" s="6">
        <v>6</v>
      </c>
      <c r="U206" s="6">
        <v>10</v>
      </c>
    </row>
    <row r="207" spans="1:21" ht="60.75" x14ac:dyDescent="0.15">
      <c r="A207" s="214" t="s">
        <v>479</v>
      </c>
      <c r="B207" s="6" t="s">
        <v>584</v>
      </c>
      <c r="C207" s="6">
        <v>380000</v>
      </c>
      <c r="D207" s="6">
        <v>1</v>
      </c>
      <c r="E207" s="6">
        <v>6</v>
      </c>
      <c r="F207" s="6">
        <v>6</v>
      </c>
      <c r="G207" s="6" t="s">
        <v>36</v>
      </c>
      <c r="H207" s="6" t="s">
        <v>37</v>
      </c>
      <c r="I207" s="6" t="s">
        <v>82</v>
      </c>
      <c r="J207" s="6" t="s">
        <v>412</v>
      </c>
      <c r="K207" s="21">
        <v>0</v>
      </c>
      <c r="L207" s="21">
        <v>0</v>
      </c>
      <c r="M207" s="21">
        <v>0</v>
      </c>
      <c r="N207" s="21">
        <v>0</v>
      </c>
      <c r="O207" s="21">
        <v>0</v>
      </c>
      <c r="P207" s="21" t="str">
        <f>IF(TeamT[[#This Row],[General]]+TeamT[[#This Row],[Agility]]+TeamT[[#This Row],[Strength]]+TeamT[[#This Row],[Passing]]+TeamT[[#This Row],[Mutation]]&gt;0,IF(TeamT[[#This Row],[General]]=1,"G","")&amp;IF(TeamT[[#This Row],[Agility]]=1,"A","")&amp;IF(TeamT[[#This Row],[Strength]]=1,"S","")&amp;IF(TeamT[[#This Row],[Passing]]=1,"P","")&amp;IF(TeamT[[#This Row],[Mutation]]=1,"M",""),"Star")</f>
        <v>Star</v>
      </c>
      <c r="Q207" s="21" t="str">
        <f>IF(TeamT[[#This Row],[General]]=2,"G","")&amp;IF(TeamT[[#This Row],[Agility]]=2,"A","")&amp;IF(TeamT[[#This Row],[Strength]]=2,"S","")&amp;IF(TeamT[[#This Row],[Passing]]=2,"P","")&amp;IF(TeamT[[#This Row],[Mutation]]=2,"M","")</f>
        <v/>
      </c>
      <c r="R207" s="211" t="s">
        <v>682</v>
      </c>
      <c r="S207" s="6">
        <v>3</v>
      </c>
      <c r="T207" s="6">
        <v>4</v>
      </c>
      <c r="U207" s="6">
        <v>11</v>
      </c>
    </row>
    <row r="208" spans="1:21" ht="83.25" x14ac:dyDescent="0.15">
      <c r="A208" s="214" t="s">
        <v>459</v>
      </c>
      <c r="B208" s="6" t="s">
        <v>584</v>
      </c>
      <c r="C208" s="6">
        <v>270000</v>
      </c>
      <c r="D208" s="6">
        <v>1</v>
      </c>
      <c r="E208" s="6">
        <v>8</v>
      </c>
      <c r="F208" s="6">
        <v>3</v>
      </c>
      <c r="G208" s="6" t="s">
        <v>370</v>
      </c>
      <c r="H208" s="6" t="s">
        <v>37</v>
      </c>
      <c r="I208" s="6" t="s">
        <v>38</v>
      </c>
      <c r="J208" s="6" t="s">
        <v>413</v>
      </c>
      <c r="K208" s="21">
        <v>0</v>
      </c>
      <c r="L208" s="21">
        <v>0</v>
      </c>
      <c r="M208" s="21">
        <v>0</v>
      </c>
      <c r="N208" s="21">
        <v>0</v>
      </c>
      <c r="O208" s="21">
        <v>0</v>
      </c>
      <c r="P208" s="21" t="str">
        <f>IF(TeamT[[#This Row],[General]]+TeamT[[#This Row],[Agility]]+TeamT[[#This Row],[Strength]]+TeamT[[#This Row],[Passing]]+TeamT[[#This Row],[Mutation]]&gt;0,IF(TeamT[[#This Row],[General]]=1,"G","")&amp;IF(TeamT[[#This Row],[Agility]]=1,"A","")&amp;IF(TeamT[[#This Row],[Strength]]=1,"S","")&amp;IF(TeamT[[#This Row],[Passing]]=1,"P","")&amp;IF(TeamT[[#This Row],[Mutation]]=1,"M",""),"Star")</f>
        <v>Star</v>
      </c>
      <c r="Q208" s="21" t="str">
        <f>IF(TeamT[[#This Row],[General]]=2,"G","")&amp;IF(TeamT[[#This Row],[Agility]]=2,"A","")&amp;IF(TeamT[[#This Row],[Strength]]=2,"S","")&amp;IF(TeamT[[#This Row],[Passing]]=2,"P","")&amp;IF(TeamT[[#This Row],[Mutation]]=2,"M","")</f>
        <v/>
      </c>
      <c r="R208" s="211" t="s">
        <v>683</v>
      </c>
      <c r="S208" s="6">
        <v>1</v>
      </c>
      <c r="T208" s="6">
        <v>4</v>
      </c>
      <c r="U208" s="6">
        <v>8</v>
      </c>
    </row>
    <row r="209" spans="1:21" ht="106.5" x14ac:dyDescent="0.15">
      <c r="A209" s="214" t="s">
        <v>480</v>
      </c>
      <c r="B209" s="6" t="s">
        <v>584</v>
      </c>
      <c r="C209" s="6">
        <v>170000</v>
      </c>
      <c r="D209" s="6">
        <v>1</v>
      </c>
      <c r="E209" s="6">
        <v>6</v>
      </c>
      <c r="F209" s="6">
        <v>3</v>
      </c>
      <c r="G209" s="6" t="s">
        <v>36</v>
      </c>
      <c r="H209" s="6" t="s">
        <v>53</v>
      </c>
      <c r="I209" s="6" t="s">
        <v>38</v>
      </c>
      <c r="J209" s="6" t="s">
        <v>414</v>
      </c>
      <c r="K209" s="21">
        <v>0</v>
      </c>
      <c r="L209" s="21">
        <v>0</v>
      </c>
      <c r="M209" s="21">
        <v>0</v>
      </c>
      <c r="N209" s="21">
        <v>0</v>
      </c>
      <c r="O209" s="21">
        <v>0</v>
      </c>
      <c r="P209" s="21" t="str">
        <f>IF(TeamT[[#This Row],[General]]+TeamT[[#This Row],[Agility]]+TeamT[[#This Row],[Strength]]+TeamT[[#This Row],[Passing]]+TeamT[[#This Row],[Mutation]]&gt;0,IF(TeamT[[#This Row],[General]]=1,"G","")&amp;IF(TeamT[[#This Row],[Agility]]=1,"A","")&amp;IF(TeamT[[#This Row],[Strength]]=1,"S","")&amp;IF(TeamT[[#This Row],[Passing]]=1,"P","")&amp;IF(TeamT[[#This Row],[Mutation]]=1,"M",""),"Star")</f>
        <v>Star</v>
      </c>
      <c r="Q209" s="21" t="str">
        <f>IF(TeamT[[#This Row],[General]]=2,"G","")&amp;IF(TeamT[[#This Row],[Agility]]=2,"A","")&amp;IF(TeamT[[#This Row],[Strength]]=2,"S","")&amp;IF(TeamT[[#This Row],[Passing]]=2,"P","")&amp;IF(TeamT[[#This Row],[Mutation]]=2,"M","")</f>
        <v/>
      </c>
      <c r="R209" s="211" t="s">
        <v>684</v>
      </c>
      <c r="S209" s="6">
        <v>3</v>
      </c>
      <c r="T209" s="6" t="s">
        <v>53</v>
      </c>
      <c r="U209" s="6">
        <v>8</v>
      </c>
    </row>
    <row r="210" spans="1:21" ht="72" x14ac:dyDescent="0.15">
      <c r="A210" s="214" t="s">
        <v>481</v>
      </c>
      <c r="B210" s="6" t="s">
        <v>584</v>
      </c>
      <c r="C210" s="6">
        <v>150000</v>
      </c>
      <c r="D210" s="6">
        <v>1</v>
      </c>
      <c r="E210" s="6">
        <v>6</v>
      </c>
      <c r="F210" s="6">
        <v>3</v>
      </c>
      <c r="G210" s="6" t="s">
        <v>37</v>
      </c>
      <c r="H210" s="6" t="s">
        <v>37</v>
      </c>
      <c r="I210" s="6" t="s">
        <v>46</v>
      </c>
      <c r="J210" s="6" t="s">
        <v>415</v>
      </c>
      <c r="K210" s="21">
        <v>0</v>
      </c>
      <c r="L210" s="21">
        <v>0</v>
      </c>
      <c r="M210" s="21">
        <v>0</v>
      </c>
      <c r="N210" s="21">
        <v>0</v>
      </c>
      <c r="O210" s="21">
        <v>0</v>
      </c>
      <c r="P210" s="21" t="str">
        <f>IF(TeamT[[#This Row],[General]]+TeamT[[#This Row],[Agility]]+TeamT[[#This Row],[Strength]]+TeamT[[#This Row],[Passing]]+TeamT[[#This Row],[Mutation]]&gt;0,IF(TeamT[[#This Row],[General]]=1,"G","")&amp;IF(TeamT[[#This Row],[Agility]]=1,"A","")&amp;IF(TeamT[[#This Row],[Strength]]=1,"S","")&amp;IF(TeamT[[#This Row],[Passing]]=1,"P","")&amp;IF(TeamT[[#This Row],[Mutation]]=1,"M",""),"Star")</f>
        <v>Star</v>
      </c>
      <c r="Q210" s="21" t="str">
        <f>IF(TeamT[[#This Row],[General]]=2,"G","")&amp;IF(TeamT[[#This Row],[Agility]]=2,"A","")&amp;IF(TeamT[[#This Row],[Strength]]=2,"S","")&amp;IF(TeamT[[#This Row],[Passing]]=2,"P","")&amp;IF(TeamT[[#This Row],[Mutation]]=2,"M","")</f>
        <v/>
      </c>
      <c r="R210" s="211" t="s">
        <v>685</v>
      </c>
      <c r="S210" s="6">
        <v>4</v>
      </c>
      <c r="T210" s="6">
        <v>4</v>
      </c>
      <c r="U210" s="6">
        <v>9</v>
      </c>
    </row>
    <row r="211" spans="1:21" ht="83.25" x14ac:dyDescent="0.15">
      <c r="A211" s="214" t="s">
        <v>461</v>
      </c>
      <c r="B211" s="6" t="s">
        <v>584</v>
      </c>
      <c r="C211" s="6">
        <v>225000</v>
      </c>
      <c r="D211" s="6">
        <v>1</v>
      </c>
      <c r="E211" s="6">
        <v>6</v>
      </c>
      <c r="F211" s="6">
        <v>2</v>
      </c>
      <c r="G211" s="6" t="s">
        <v>36</v>
      </c>
      <c r="H211" s="6" t="s">
        <v>36</v>
      </c>
      <c r="I211" s="6" t="s">
        <v>46</v>
      </c>
      <c r="J211" s="6" t="s">
        <v>395</v>
      </c>
      <c r="K211" s="21">
        <v>0</v>
      </c>
      <c r="L211" s="21">
        <v>0</v>
      </c>
      <c r="M211" s="21">
        <v>0</v>
      </c>
      <c r="N211" s="21">
        <v>0</v>
      </c>
      <c r="O211" s="21">
        <v>0</v>
      </c>
      <c r="P211" s="21" t="str">
        <f>IF(TeamT[[#This Row],[General]]+TeamT[[#This Row],[Agility]]+TeamT[[#This Row],[Strength]]+TeamT[[#This Row],[Passing]]+TeamT[[#This Row],[Mutation]]&gt;0,IF(TeamT[[#This Row],[General]]=1,"G","")&amp;IF(TeamT[[#This Row],[Agility]]=1,"A","")&amp;IF(TeamT[[#This Row],[Strength]]=1,"S","")&amp;IF(TeamT[[#This Row],[Passing]]=1,"P","")&amp;IF(TeamT[[#This Row],[Mutation]]=1,"M",""),"Star")</f>
        <v>Star</v>
      </c>
      <c r="Q211" s="21" t="str">
        <f>IF(TeamT[[#This Row],[General]]=2,"G","")&amp;IF(TeamT[[#This Row],[Agility]]=2,"A","")&amp;IF(TeamT[[#This Row],[Strength]]=2,"S","")&amp;IF(TeamT[[#This Row],[Passing]]=2,"P","")&amp;IF(TeamT[[#This Row],[Mutation]]=2,"M","")</f>
        <v/>
      </c>
      <c r="R211" s="210" t="s">
        <v>686</v>
      </c>
      <c r="S211" s="6">
        <v>3</v>
      </c>
      <c r="T211" s="6">
        <v>3</v>
      </c>
      <c r="U211" s="6">
        <v>9</v>
      </c>
    </row>
    <row r="212" spans="1:21" x14ac:dyDescent="0.15">
      <c r="A212" s="214" t="s">
        <v>533</v>
      </c>
      <c r="B212" s="6" t="s">
        <v>584</v>
      </c>
      <c r="C212" s="6">
        <v>0</v>
      </c>
      <c r="D212" s="6">
        <v>1</v>
      </c>
      <c r="E212" s="6">
        <v>7</v>
      </c>
      <c r="F212" s="6">
        <v>3</v>
      </c>
      <c r="G212" s="6" t="s">
        <v>59</v>
      </c>
      <c r="H212" s="6" t="s">
        <v>59</v>
      </c>
      <c r="I212" s="6" t="s">
        <v>38</v>
      </c>
      <c r="J212" s="6" t="s">
        <v>417</v>
      </c>
      <c r="K212" s="21">
        <v>0</v>
      </c>
      <c r="L212" s="21">
        <v>0</v>
      </c>
      <c r="M212" s="21">
        <v>0</v>
      </c>
      <c r="N212" s="21">
        <v>0</v>
      </c>
      <c r="O212" s="21">
        <v>0</v>
      </c>
      <c r="P212" s="21" t="str">
        <f>IF(TeamT[[#This Row],[General]]+TeamT[[#This Row],[Agility]]+TeamT[[#This Row],[Strength]]+TeamT[[#This Row],[Passing]]+TeamT[[#This Row],[Mutation]]&gt;0,IF(TeamT[[#This Row],[General]]=1,"G","")&amp;IF(TeamT[[#This Row],[Agility]]=1,"A","")&amp;IF(TeamT[[#This Row],[Strength]]=1,"S","")&amp;IF(TeamT[[#This Row],[Passing]]=1,"P","")&amp;IF(TeamT[[#This Row],[Mutation]]=1,"M",""),"Star")</f>
        <v>Star</v>
      </c>
      <c r="Q212" s="21" t="str">
        <f>IF(TeamT[[#This Row],[General]]=2,"G","")&amp;IF(TeamT[[#This Row],[Agility]]=2,"A","")&amp;IF(TeamT[[#This Row],[Strength]]=2,"S","")&amp;IF(TeamT[[#This Row],[Passing]]=2,"P","")&amp;IF(TeamT[[#This Row],[Mutation]]=2,"M","")</f>
        <v/>
      </c>
      <c r="R212" s="210"/>
      <c r="S212" s="6">
        <v>2</v>
      </c>
      <c r="T212" s="6">
        <v>2</v>
      </c>
      <c r="U212" s="6">
        <v>8</v>
      </c>
    </row>
    <row r="213" spans="1:21" ht="106.5" x14ac:dyDescent="0.15">
      <c r="A213" s="214" t="s">
        <v>482</v>
      </c>
      <c r="B213" s="6" t="s">
        <v>584</v>
      </c>
      <c r="C213" s="6">
        <v>280000</v>
      </c>
      <c r="D213" s="6">
        <v>1</v>
      </c>
      <c r="E213" s="6">
        <v>6</v>
      </c>
      <c r="F213" s="6">
        <v>5</v>
      </c>
      <c r="G213" s="6" t="s">
        <v>36</v>
      </c>
      <c r="H213" s="6" t="s">
        <v>40</v>
      </c>
      <c r="I213" s="6" t="s">
        <v>41</v>
      </c>
      <c r="J213" s="6" t="s">
        <v>418</v>
      </c>
      <c r="K213" s="21">
        <v>0</v>
      </c>
      <c r="L213" s="21">
        <v>0</v>
      </c>
      <c r="M213" s="21">
        <v>0</v>
      </c>
      <c r="N213" s="21">
        <v>0</v>
      </c>
      <c r="O213" s="21">
        <v>0</v>
      </c>
      <c r="P213" s="21" t="str">
        <f>IF(TeamT[[#This Row],[General]]+TeamT[[#This Row],[Agility]]+TeamT[[#This Row],[Strength]]+TeamT[[#This Row],[Passing]]+TeamT[[#This Row],[Mutation]]&gt;0,IF(TeamT[[#This Row],[General]]=1,"G","")&amp;IF(TeamT[[#This Row],[Agility]]=1,"A","")&amp;IF(TeamT[[#This Row],[Strength]]=1,"S","")&amp;IF(TeamT[[#This Row],[Passing]]=1,"P","")&amp;IF(TeamT[[#This Row],[Mutation]]=1,"M",""),"Star")</f>
        <v>Star</v>
      </c>
      <c r="Q213" s="21" t="str">
        <f>IF(TeamT[[#This Row],[General]]=2,"G","")&amp;IF(TeamT[[#This Row],[Agility]]=2,"A","")&amp;IF(TeamT[[#This Row],[Strength]]=2,"S","")&amp;IF(TeamT[[#This Row],[Passing]]=2,"P","")&amp;IF(TeamT[[#This Row],[Mutation]]=2,"M","")</f>
        <v/>
      </c>
      <c r="R213" s="210" t="s">
        <v>687</v>
      </c>
      <c r="S213" s="6">
        <v>3</v>
      </c>
      <c r="T213" s="6">
        <v>5</v>
      </c>
      <c r="U213" s="6">
        <v>10</v>
      </c>
    </row>
    <row r="214" spans="1:21" ht="83.25" x14ac:dyDescent="0.15">
      <c r="A214" s="214" t="s">
        <v>464</v>
      </c>
      <c r="B214" s="6" t="s">
        <v>584</v>
      </c>
      <c r="C214" s="6">
        <v>150000</v>
      </c>
      <c r="D214" s="6">
        <v>1</v>
      </c>
      <c r="E214" s="6">
        <v>5</v>
      </c>
      <c r="F214" s="6">
        <v>4</v>
      </c>
      <c r="G214" s="6" t="s">
        <v>36</v>
      </c>
      <c r="H214" s="6" t="s">
        <v>96</v>
      </c>
      <c r="I214" s="6" t="s">
        <v>46</v>
      </c>
      <c r="J214" s="6" t="s">
        <v>420</v>
      </c>
      <c r="K214" s="21">
        <v>0</v>
      </c>
      <c r="L214" s="21">
        <v>0</v>
      </c>
      <c r="M214" s="21">
        <v>0</v>
      </c>
      <c r="N214" s="21">
        <v>0</v>
      </c>
      <c r="O214" s="21">
        <v>0</v>
      </c>
      <c r="P214" s="21" t="str">
        <f>IF(TeamT[[#This Row],[General]]+TeamT[[#This Row],[Agility]]+TeamT[[#This Row],[Strength]]+TeamT[[#This Row],[Passing]]+TeamT[[#This Row],[Mutation]]&gt;0,IF(TeamT[[#This Row],[General]]=1,"G","")&amp;IF(TeamT[[#This Row],[Agility]]=1,"A","")&amp;IF(TeamT[[#This Row],[Strength]]=1,"S","")&amp;IF(TeamT[[#This Row],[Passing]]=1,"P","")&amp;IF(TeamT[[#This Row],[Mutation]]=1,"M",""),"Star")</f>
        <v>Star</v>
      </c>
      <c r="Q214" s="21" t="str">
        <f>IF(TeamT[[#This Row],[General]]=2,"G","")&amp;IF(TeamT[[#This Row],[Agility]]=2,"A","")&amp;IF(TeamT[[#This Row],[Strength]]=2,"S","")&amp;IF(TeamT[[#This Row],[Passing]]=2,"P","")&amp;IF(TeamT[[#This Row],[Mutation]]=2,"M","")</f>
        <v/>
      </c>
      <c r="R214" s="210" t="s">
        <v>688</v>
      </c>
      <c r="S214" s="6">
        <v>3</v>
      </c>
      <c r="T214" s="6">
        <v>6</v>
      </c>
      <c r="U214" s="6">
        <v>9</v>
      </c>
    </row>
    <row r="215" spans="1:21" ht="72" x14ac:dyDescent="0.15">
      <c r="A215" s="214" t="s">
        <v>465</v>
      </c>
      <c r="B215" s="6" t="s">
        <v>584</v>
      </c>
      <c r="C215" s="6">
        <v>230000</v>
      </c>
      <c r="D215" s="6">
        <v>1</v>
      </c>
      <c r="E215" s="6">
        <v>5</v>
      </c>
      <c r="F215" s="6">
        <v>5</v>
      </c>
      <c r="G215" s="6" t="s">
        <v>37</v>
      </c>
      <c r="H215" s="6" t="s">
        <v>40</v>
      </c>
      <c r="I215" s="6" t="s">
        <v>41</v>
      </c>
      <c r="J215" s="6" t="s">
        <v>421</v>
      </c>
      <c r="K215" s="21">
        <v>0</v>
      </c>
      <c r="L215" s="21">
        <v>0</v>
      </c>
      <c r="M215" s="21">
        <v>0</v>
      </c>
      <c r="N215" s="21">
        <v>0</v>
      </c>
      <c r="O215" s="21">
        <v>0</v>
      </c>
      <c r="P215" s="21" t="str">
        <f>IF(TeamT[[#This Row],[General]]+TeamT[[#This Row],[Agility]]+TeamT[[#This Row],[Strength]]+TeamT[[#This Row],[Passing]]+TeamT[[#This Row],[Mutation]]&gt;0,IF(TeamT[[#This Row],[General]]=1,"G","")&amp;IF(TeamT[[#This Row],[Agility]]=1,"A","")&amp;IF(TeamT[[#This Row],[Strength]]=1,"S","")&amp;IF(TeamT[[#This Row],[Passing]]=1,"P","")&amp;IF(TeamT[[#This Row],[Mutation]]=1,"M",""),"Star")</f>
        <v>Star</v>
      </c>
      <c r="Q215" s="21" t="str">
        <f>IF(TeamT[[#This Row],[General]]=2,"G","")&amp;IF(TeamT[[#This Row],[Agility]]=2,"A","")&amp;IF(TeamT[[#This Row],[Strength]]=2,"S","")&amp;IF(TeamT[[#This Row],[Passing]]=2,"P","")&amp;IF(TeamT[[#This Row],[Mutation]]=2,"M","")</f>
        <v/>
      </c>
      <c r="R215" s="211" t="s">
        <v>689</v>
      </c>
      <c r="S215" s="6">
        <v>4</v>
      </c>
      <c r="T215" s="6">
        <v>5</v>
      </c>
      <c r="U215" s="6">
        <v>10</v>
      </c>
    </row>
    <row r="216" spans="1:21" ht="95.25" x14ac:dyDescent="0.15">
      <c r="A216" s="214" t="s">
        <v>660</v>
      </c>
      <c r="B216" s="6" t="s">
        <v>584</v>
      </c>
      <c r="C216" s="6">
        <v>250000</v>
      </c>
      <c r="D216" s="6">
        <v>1</v>
      </c>
      <c r="E216" s="6">
        <v>4</v>
      </c>
      <c r="F216" s="6">
        <v>5</v>
      </c>
      <c r="G216" s="6" t="s">
        <v>37</v>
      </c>
      <c r="H216" s="6" t="s">
        <v>53</v>
      </c>
      <c r="I216" s="6" t="s">
        <v>41</v>
      </c>
      <c r="J216" s="21" t="s">
        <v>663</v>
      </c>
      <c r="K216" s="21">
        <v>0</v>
      </c>
      <c r="L216" s="21">
        <v>0</v>
      </c>
      <c r="M216" s="21">
        <v>0</v>
      </c>
      <c r="N216" s="21">
        <v>0</v>
      </c>
      <c r="O216" s="21">
        <v>0</v>
      </c>
      <c r="P216" s="23" t="str">
        <f>IF(TeamT[[#This Row],[General]]+TeamT[[#This Row],[Agility]]+TeamT[[#This Row],[Strength]]+TeamT[[#This Row],[Passing]]+TeamT[[#This Row],[Mutation]]&gt;0,IF(TeamT[[#This Row],[General]]=1,"G","")&amp;IF(TeamT[[#This Row],[Agility]]=1,"A","")&amp;IF(TeamT[[#This Row],[Strength]]=1,"S","")&amp;IF(TeamT[[#This Row],[Passing]]=1,"P","")&amp;IF(TeamT[[#This Row],[Mutation]]=1,"M",""),"Star")</f>
        <v>Star</v>
      </c>
      <c r="Q216" s="23" t="str">
        <f>IF(TeamT[[#This Row],[General]]=2,"G","")&amp;IF(TeamT[[#This Row],[Agility]]=2,"A","")&amp;IF(TeamT[[#This Row],[Strength]]=2,"S","")&amp;IF(TeamT[[#This Row],[Passing]]=2,"P","")&amp;IF(TeamT[[#This Row],[Mutation]]=2,"M","")</f>
        <v/>
      </c>
      <c r="R216" s="212" t="s">
        <v>666</v>
      </c>
      <c r="S216" s="21">
        <v>4</v>
      </c>
      <c r="T216" s="21" t="s">
        <v>53</v>
      </c>
      <c r="U216" s="21">
        <v>10</v>
      </c>
    </row>
    <row r="217" spans="1:21" ht="60.75" x14ac:dyDescent="0.15">
      <c r="A217" s="214" t="s">
        <v>661</v>
      </c>
      <c r="B217" s="6" t="s">
        <v>584</v>
      </c>
      <c r="C217" s="6">
        <v>220000</v>
      </c>
      <c r="D217" s="6">
        <v>1</v>
      </c>
      <c r="E217" s="6">
        <v>8</v>
      </c>
      <c r="F217" s="6">
        <v>4</v>
      </c>
      <c r="G217" s="6" t="s">
        <v>36</v>
      </c>
      <c r="H217" s="6" t="s">
        <v>37</v>
      </c>
      <c r="I217" s="6" t="s">
        <v>46</v>
      </c>
      <c r="J217" s="21" t="s">
        <v>664</v>
      </c>
      <c r="K217" s="21">
        <v>0</v>
      </c>
      <c r="L217" s="21">
        <v>0</v>
      </c>
      <c r="M217" s="21">
        <v>0</v>
      </c>
      <c r="N217" s="21">
        <v>0</v>
      </c>
      <c r="O217" s="21">
        <v>0</v>
      </c>
      <c r="P217" s="23" t="str">
        <f>IF(TeamT[[#This Row],[General]]+TeamT[[#This Row],[Agility]]+TeamT[[#This Row],[Strength]]+TeamT[[#This Row],[Passing]]+TeamT[[#This Row],[Mutation]]&gt;0,IF(TeamT[[#This Row],[General]]=1,"G","")&amp;IF(TeamT[[#This Row],[Agility]]=1,"A","")&amp;IF(TeamT[[#This Row],[Strength]]=1,"S","")&amp;IF(TeamT[[#This Row],[Passing]]=1,"P","")&amp;IF(TeamT[[#This Row],[Mutation]]=1,"M",""),"Star")</f>
        <v>Star</v>
      </c>
      <c r="Q217" s="23" t="str">
        <f>IF(TeamT[[#This Row],[General]]=2,"G","")&amp;IF(TeamT[[#This Row],[Agility]]=2,"A","")&amp;IF(TeamT[[#This Row],[Strength]]=2,"S","")&amp;IF(TeamT[[#This Row],[Passing]]=2,"P","")&amp;IF(TeamT[[#This Row],[Mutation]]=2,"M","")</f>
        <v/>
      </c>
      <c r="R217" s="212" t="s">
        <v>690</v>
      </c>
      <c r="S217" s="21">
        <v>3</v>
      </c>
      <c r="T217" s="21">
        <v>4</v>
      </c>
      <c r="U217" s="21">
        <v>9</v>
      </c>
    </row>
    <row r="218" spans="1:21" ht="83.25" x14ac:dyDescent="0.15">
      <c r="A218" s="214" t="s">
        <v>662</v>
      </c>
      <c r="B218" s="6" t="s">
        <v>584</v>
      </c>
      <c r="C218" s="6">
        <v>130000</v>
      </c>
      <c r="D218" s="6">
        <v>1</v>
      </c>
      <c r="E218" s="6">
        <v>5</v>
      </c>
      <c r="F218" s="6">
        <v>3</v>
      </c>
      <c r="G218" s="6" t="s">
        <v>37</v>
      </c>
      <c r="H218" s="6" t="s">
        <v>53</v>
      </c>
      <c r="I218" s="6" t="s">
        <v>46</v>
      </c>
      <c r="J218" s="21" t="s">
        <v>665</v>
      </c>
      <c r="K218" s="21">
        <v>0</v>
      </c>
      <c r="L218" s="21">
        <v>0</v>
      </c>
      <c r="M218" s="21">
        <v>0</v>
      </c>
      <c r="N218" s="21">
        <v>0</v>
      </c>
      <c r="O218" s="21">
        <v>0</v>
      </c>
      <c r="P218" s="23" t="str">
        <f>IF(TeamT[[#This Row],[General]]+TeamT[[#This Row],[Agility]]+TeamT[[#This Row],[Strength]]+TeamT[[#This Row],[Passing]]+TeamT[[#This Row],[Mutation]]&gt;0,IF(TeamT[[#This Row],[General]]=1,"G","")&amp;IF(TeamT[[#This Row],[Agility]]=1,"A","")&amp;IF(TeamT[[#This Row],[Strength]]=1,"S","")&amp;IF(TeamT[[#This Row],[Passing]]=1,"P","")&amp;IF(TeamT[[#This Row],[Mutation]]=1,"M",""),"Star")</f>
        <v>Star</v>
      </c>
      <c r="Q218" s="23" t="str">
        <f>IF(TeamT[[#This Row],[General]]=2,"G","")&amp;IF(TeamT[[#This Row],[Agility]]=2,"A","")&amp;IF(TeamT[[#This Row],[Strength]]=2,"S","")&amp;IF(TeamT[[#This Row],[Passing]]=2,"P","")&amp;IF(TeamT[[#This Row],[Mutation]]=2,"M","")</f>
        <v/>
      </c>
      <c r="R218" s="212" t="s">
        <v>691</v>
      </c>
      <c r="S218" s="21">
        <v>4</v>
      </c>
      <c r="T218" s="21" t="s">
        <v>53</v>
      </c>
      <c r="U218" s="21">
        <v>9</v>
      </c>
    </row>
    <row r="219" spans="1:21" ht="37.5" x14ac:dyDescent="0.15">
      <c r="A219" s="6" t="s">
        <v>716</v>
      </c>
      <c r="B219" s="6" t="s">
        <v>584</v>
      </c>
      <c r="C219" s="6">
        <v>80000</v>
      </c>
      <c r="D219" s="6">
        <v>1</v>
      </c>
      <c r="E219" s="6">
        <v>7</v>
      </c>
      <c r="F219" s="6">
        <v>1</v>
      </c>
      <c r="G219" s="6" t="s">
        <v>59</v>
      </c>
      <c r="H219" s="6" t="s">
        <v>53</v>
      </c>
      <c r="I219" s="6" t="s">
        <v>96</v>
      </c>
      <c r="J219" s="21" t="s">
        <v>717</v>
      </c>
      <c r="K219" s="21">
        <v>0</v>
      </c>
      <c r="L219" s="21">
        <v>0</v>
      </c>
      <c r="M219" s="21">
        <v>0</v>
      </c>
      <c r="N219" s="21">
        <v>0</v>
      </c>
      <c r="O219" s="21">
        <v>0</v>
      </c>
      <c r="P219" s="23" t="str">
        <f>IF(TeamT[[#This Row],[General]]+TeamT[[#This Row],[Agility]]+TeamT[[#This Row],[Strength]]+TeamT[[#This Row],[Passing]]+TeamT[[#This Row],[Mutation]]&gt;0,IF(TeamT[[#This Row],[General]]=1,"G","")&amp;IF(TeamT[[#This Row],[Agility]]=1,"A","")&amp;IF(TeamT[[#This Row],[Strength]]=1,"S","")&amp;IF(TeamT[[#This Row],[Passing]]=1,"P","")&amp;IF(TeamT[[#This Row],[Mutation]]=1,"M",""),"Star")</f>
        <v>Star</v>
      </c>
      <c r="Q219" s="23" t="str">
        <f>IF(TeamT[[#This Row],[General]]=2,"G","")&amp;IF(TeamT[[#This Row],[Agility]]=2,"A","")&amp;IF(TeamT[[#This Row],[Strength]]=2,"S","")&amp;IF(TeamT[[#This Row],[Passing]]=2,"P","")&amp;IF(TeamT[[#This Row],[Mutation]]=2,"M","")</f>
        <v/>
      </c>
      <c r="R219" s="212" t="s">
        <v>719</v>
      </c>
      <c r="S219" s="21">
        <v>2</v>
      </c>
      <c r="T219" s="21" t="s">
        <v>53</v>
      </c>
      <c r="U219" s="21">
        <v>6</v>
      </c>
    </row>
    <row r="220" spans="1:21" ht="141" x14ac:dyDescent="0.15">
      <c r="A220" s="6" t="s">
        <v>730</v>
      </c>
      <c r="B220" s="6" t="s">
        <v>584</v>
      </c>
      <c r="C220" s="6">
        <v>240000</v>
      </c>
      <c r="D220" s="6">
        <v>1</v>
      </c>
      <c r="E220" s="6">
        <v>6</v>
      </c>
      <c r="F220" s="6">
        <v>6</v>
      </c>
      <c r="G220" s="6" t="s">
        <v>37</v>
      </c>
      <c r="H220" s="6" t="s">
        <v>53</v>
      </c>
      <c r="I220" s="6" t="s">
        <v>46</v>
      </c>
      <c r="J220" s="21" t="s">
        <v>700</v>
      </c>
      <c r="K220" s="21">
        <v>0</v>
      </c>
      <c r="L220" s="21">
        <v>0</v>
      </c>
      <c r="M220" s="21">
        <v>0</v>
      </c>
      <c r="N220" s="21">
        <v>0</v>
      </c>
      <c r="O220" s="21">
        <v>0</v>
      </c>
      <c r="P220" s="23" t="str">
        <f>IF(TeamT[[#This Row],[General]]+TeamT[[#This Row],[Agility]]+TeamT[[#This Row],[Strength]]+TeamT[[#This Row],[Passing]]+TeamT[[#This Row],[Mutation]]&gt;0,IF(TeamT[[#This Row],[General]]=1,"G","")&amp;IF(TeamT[[#This Row],[Agility]]=1,"A","")&amp;IF(TeamT[[#This Row],[Strength]]=1,"S","")&amp;IF(TeamT[[#This Row],[Passing]]=1,"P","")&amp;IF(TeamT[[#This Row],[Mutation]]=1,"M",""),"Star")</f>
        <v>Star</v>
      </c>
      <c r="Q220" s="23" t="str">
        <f>IF(TeamT[[#This Row],[General]]=2,"G","")&amp;IF(TeamT[[#This Row],[Agility]]=2,"A","")&amp;IF(TeamT[[#This Row],[Strength]]=2,"S","")&amp;IF(TeamT[[#This Row],[Passing]]=2,"P","")&amp;IF(TeamT[[#This Row],[Mutation]]=2,"M","")</f>
        <v/>
      </c>
      <c r="R220" s="212" t="s">
        <v>734</v>
      </c>
      <c r="S220" s="21">
        <v>4</v>
      </c>
      <c r="T220" s="21" t="s">
        <v>53</v>
      </c>
      <c r="U220" s="21">
        <v>9</v>
      </c>
    </row>
    <row r="221" spans="1:21" ht="60.75" x14ac:dyDescent="0.15">
      <c r="A221" s="6" t="s">
        <v>731</v>
      </c>
      <c r="B221" s="6" t="s">
        <v>584</v>
      </c>
      <c r="C221" s="6">
        <v>170000</v>
      </c>
      <c r="D221" s="6">
        <v>1</v>
      </c>
      <c r="E221" s="6">
        <v>5</v>
      </c>
      <c r="F221" s="6">
        <v>7</v>
      </c>
      <c r="G221" s="6" t="s">
        <v>37</v>
      </c>
      <c r="H221" s="6" t="s">
        <v>53</v>
      </c>
      <c r="I221" s="6" t="s">
        <v>41</v>
      </c>
      <c r="J221" s="21" t="s">
        <v>745</v>
      </c>
      <c r="K221" s="21">
        <v>0</v>
      </c>
      <c r="L221" s="21">
        <v>0</v>
      </c>
      <c r="M221" s="21">
        <v>0</v>
      </c>
      <c r="N221" s="21">
        <v>0</v>
      </c>
      <c r="O221" s="21">
        <v>0</v>
      </c>
      <c r="P221" s="23" t="str">
        <f>IF(TeamT[[#This Row],[General]]+TeamT[[#This Row],[Agility]]+TeamT[[#This Row],[Strength]]+TeamT[[#This Row],[Passing]]+TeamT[[#This Row],[Mutation]]&gt;0,IF(TeamT[[#This Row],[General]]=1,"G","")&amp;IF(TeamT[[#This Row],[Agility]]=1,"A","")&amp;IF(TeamT[[#This Row],[Strength]]=1,"S","")&amp;IF(TeamT[[#This Row],[Passing]]=1,"P","")&amp;IF(TeamT[[#This Row],[Mutation]]=1,"M",""),"Star")</f>
        <v>Star</v>
      </c>
      <c r="Q221" s="23" t="str">
        <f>IF(TeamT[[#This Row],[General]]=2,"G","")&amp;IF(TeamT[[#This Row],[Agility]]=2,"A","")&amp;IF(TeamT[[#This Row],[Strength]]=2,"S","")&amp;IF(TeamT[[#This Row],[Passing]]=2,"P","")&amp;IF(TeamT[[#This Row],[Mutation]]=2,"M","")</f>
        <v/>
      </c>
      <c r="R221" s="211" t="s">
        <v>735</v>
      </c>
      <c r="S221" s="21">
        <v>4</v>
      </c>
      <c r="T221" s="21" t="s">
        <v>53</v>
      </c>
      <c r="U221" s="21">
        <v>10</v>
      </c>
    </row>
    <row r="222" spans="1:21" ht="83.25" x14ac:dyDescent="0.15">
      <c r="A222" s="6" t="s">
        <v>732</v>
      </c>
      <c r="B222" s="6" t="s">
        <v>584</v>
      </c>
      <c r="C222" s="6">
        <v>130000</v>
      </c>
      <c r="D222" s="6">
        <v>1</v>
      </c>
      <c r="E222" s="6">
        <v>5</v>
      </c>
      <c r="F222" s="6">
        <v>4</v>
      </c>
      <c r="G222" s="6" t="s">
        <v>37</v>
      </c>
      <c r="H222" s="6" t="s">
        <v>53</v>
      </c>
      <c r="I222" s="6" t="s">
        <v>46</v>
      </c>
      <c r="J222" s="21" t="s">
        <v>736</v>
      </c>
      <c r="K222" s="21">
        <v>0</v>
      </c>
      <c r="L222" s="21">
        <v>0</v>
      </c>
      <c r="M222" s="21">
        <v>0</v>
      </c>
      <c r="N222" s="21">
        <v>0</v>
      </c>
      <c r="O222" s="21">
        <v>0</v>
      </c>
      <c r="P222" s="23" t="str">
        <f>IF(TeamT[[#This Row],[General]]+TeamT[[#This Row],[Agility]]+TeamT[[#This Row],[Strength]]+TeamT[[#This Row],[Passing]]+TeamT[[#This Row],[Mutation]]&gt;0,IF(TeamT[[#This Row],[General]]=1,"G","")&amp;IF(TeamT[[#This Row],[Agility]]=1,"A","")&amp;IF(TeamT[[#This Row],[Strength]]=1,"S","")&amp;IF(TeamT[[#This Row],[Passing]]=1,"P","")&amp;IF(TeamT[[#This Row],[Mutation]]=1,"M",""),"Star")</f>
        <v>Star</v>
      </c>
      <c r="Q222" s="23" t="str">
        <f>IF(TeamT[[#This Row],[General]]=2,"G","")&amp;IF(TeamT[[#This Row],[Agility]]=2,"A","")&amp;IF(TeamT[[#This Row],[Strength]]=2,"S","")&amp;IF(TeamT[[#This Row],[Passing]]=2,"P","")&amp;IF(TeamT[[#This Row],[Mutation]]=2,"M","")</f>
        <v/>
      </c>
      <c r="R222" s="211" t="s">
        <v>739</v>
      </c>
      <c r="S222" s="21">
        <v>4</v>
      </c>
      <c r="T222" s="21" t="s">
        <v>53</v>
      </c>
      <c r="U222" s="21">
        <v>9</v>
      </c>
    </row>
    <row r="223" spans="1:21" ht="95.25" x14ac:dyDescent="0.15">
      <c r="A223" s="6" t="s">
        <v>733</v>
      </c>
      <c r="B223" s="6" t="s">
        <v>584</v>
      </c>
      <c r="C223" s="6">
        <v>200000</v>
      </c>
      <c r="D223" s="6">
        <v>1</v>
      </c>
      <c r="E223" s="6">
        <v>5</v>
      </c>
      <c r="F223" s="6">
        <v>5</v>
      </c>
      <c r="G223" s="6" t="s">
        <v>37</v>
      </c>
      <c r="H223" s="6" t="s">
        <v>53</v>
      </c>
      <c r="I223" s="6" t="s">
        <v>41</v>
      </c>
      <c r="J223" s="21" t="s">
        <v>737</v>
      </c>
      <c r="K223" s="21">
        <v>0</v>
      </c>
      <c r="L223" s="21">
        <v>0</v>
      </c>
      <c r="M223" s="21">
        <v>0</v>
      </c>
      <c r="N223" s="21">
        <v>0</v>
      </c>
      <c r="O223" s="21">
        <v>0</v>
      </c>
      <c r="P223" s="23" t="str">
        <f>IF(TeamT[[#This Row],[General]]+TeamT[[#This Row],[Agility]]+TeamT[[#This Row],[Strength]]+TeamT[[#This Row],[Passing]]+TeamT[[#This Row],[Mutation]]&gt;0,IF(TeamT[[#This Row],[General]]=1,"G","")&amp;IF(TeamT[[#This Row],[Agility]]=1,"A","")&amp;IF(TeamT[[#This Row],[Strength]]=1,"S","")&amp;IF(TeamT[[#This Row],[Passing]]=1,"P","")&amp;IF(TeamT[[#This Row],[Mutation]]=1,"M",""),"Star")</f>
        <v>Star</v>
      </c>
      <c r="Q223" s="23" t="str">
        <f>IF(TeamT[[#This Row],[General]]=2,"G","")&amp;IF(TeamT[[#This Row],[Agility]]=2,"A","")&amp;IF(TeamT[[#This Row],[Strength]]=2,"S","")&amp;IF(TeamT[[#This Row],[Passing]]=2,"P","")&amp;IF(TeamT[[#This Row],[Mutation]]=2,"M","")</f>
        <v/>
      </c>
      <c r="R223" s="212" t="s">
        <v>738</v>
      </c>
      <c r="S223" s="21">
        <v>4</v>
      </c>
      <c r="T223" s="21" t="s">
        <v>53</v>
      </c>
      <c r="U223" s="21">
        <v>10</v>
      </c>
    </row>
    <row r="224" spans="1:21" ht="95.25" x14ac:dyDescent="0.15">
      <c r="A224" s="6" t="s">
        <v>773</v>
      </c>
      <c r="B224" s="6" t="s">
        <v>584</v>
      </c>
      <c r="C224" s="6">
        <v>80000</v>
      </c>
      <c r="D224" s="6">
        <v>1</v>
      </c>
      <c r="E224" s="6">
        <v>6</v>
      </c>
      <c r="F224" s="6">
        <v>3</v>
      </c>
      <c r="G224" s="6" t="s">
        <v>37</v>
      </c>
      <c r="H224" s="6" t="s">
        <v>36</v>
      </c>
      <c r="I224" s="6" t="s">
        <v>46</v>
      </c>
      <c r="J224" s="21" t="s">
        <v>774</v>
      </c>
      <c r="K224" s="21">
        <v>0</v>
      </c>
      <c r="L224" s="21">
        <v>0</v>
      </c>
      <c r="M224" s="21">
        <v>0</v>
      </c>
      <c r="N224" s="21">
        <v>0</v>
      </c>
      <c r="O224" s="21">
        <v>0</v>
      </c>
      <c r="P224" s="23" t="str">
        <f>IF(TeamT[[#This Row],[General]]+TeamT[[#This Row],[Agility]]+TeamT[[#This Row],[Strength]]+TeamT[[#This Row],[Passing]]+TeamT[[#This Row],[Mutation]]&gt;0,IF(TeamT[[#This Row],[General]]=1,"G","")&amp;IF(TeamT[[#This Row],[Agility]]=1,"A","")&amp;IF(TeamT[[#This Row],[Strength]]=1,"S","")&amp;IF(TeamT[[#This Row],[Passing]]=1,"P","")&amp;IF(TeamT[[#This Row],[Mutation]]=1,"M",""),"Star")</f>
        <v>Star</v>
      </c>
      <c r="Q224" s="23" t="str">
        <f>IF(TeamT[[#This Row],[General]]=2,"G","")&amp;IF(TeamT[[#This Row],[Agility]]=2,"A","")&amp;IF(TeamT[[#This Row],[Strength]]=2,"S","")&amp;IF(TeamT[[#This Row],[Passing]]=2,"P","")&amp;IF(TeamT[[#This Row],[Mutation]]=2,"M","")</f>
        <v/>
      </c>
      <c r="R224" s="212" t="s">
        <v>775</v>
      </c>
      <c r="S224" s="21">
        <v>4</v>
      </c>
      <c r="T224" s="21">
        <v>3</v>
      </c>
      <c r="U224" s="21">
        <v>9</v>
      </c>
    </row>
    <row r="225" spans="1:21" ht="129.75" x14ac:dyDescent="0.15">
      <c r="A225" s="6" t="s">
        <v>776</v>
      </c>
      <c r="B225" s="6" t="s">
        <v>584</v>
      </c>
      <c r="C225" s="6">
        <v>170000</v>
      </c>
      <c r="D225" s="6">
        <v>1</v>
      </c>
      <c r="E225" s="6">
        <v>6</v>
      </c>
      <c r="F225" s="6">
        <v>3</v>
      </c>
      <c r="G225" s="6" t="s">
        <v>37</v>
      </c>
      <c r="H225" s="6" t="s">
        <v>36</v>
      </c>
      <c r="I225" s="6" t="s">
        <v>38</v>
      </c>
      <c r="J225" s="21" t="s">
        <v>772</v>
      </c>
      <c r="K225" s="21">
        <v>0</v>
      </c>
      <c r="L225" s="21">
        <v>0</v>
      </c>
      <c r="M225" s="21">
        <v>0</v>
      </c>
      <c r="N225" s="21">
        <v>0</v>
      </c>
      <c r="O225" s="21">
        <v>0</v>
      </c>
      <c r="P225" s="23" t="str">
        <f>IF(TeamT[[#This Row],[General]]+TeamT[[#This Row],[Agility]]+TeamT[[#This Row],[Strength]]+TeamT[[#This Row],[Passing]]+TeamT[[#This Row],[Mutation]]&gt;0,IF(TeamT[[#This Row],[General]]=1,"G","")&amp;IF(TeamT[[#This Row],[Agility]]=1,"A","")&amp;IF(TeamT[[#This Row],[Strength]]=1,"S","")&amp;IF(TeamT[[#This Row],[Passing]]=1,"P","")&amp;IF(TeamT[[#This Row],[Mutation]]=1,"M",""),"Star")</f>
        <v>Star</v>
      </c>
      <c r="Q225" s="23" t="str">
        <f>IF(TeamT[[#This Row],[General]]=2,"G","")&amp;IF(TeamT[[#This Row],[Agility]]=2,"A","")&amp;IF(TeamT[[#This Row],[Strength]]=2,"S","")&amp;IF(TeamT[[#This Row],[Passing]]=2,"P","")&amp;IF(TeamT[[#This Row],[Mutation]]=2,"M","")</f>
        <v/>
      </c>
      <c r="R225" s="210" t="s">
        <v>782</v>
      </c>
      <c r="S225" s="21">
        <v>4</v>
      </c>
      <c r="T225" s="21">
        <v>3</v>
      </c>
      <c r="U225" s="21">
        <v>8</v>
      </c>
    </row>
    <row r="226" spans="1:21" ht="106.5" x14ac:dyDescent="0.15">
      <c r="A226" s="6" t="s">
        <v>777</v>
      </c>
      <c r="B226" s="6" t="s">
        <v>584</v>
      </c>
      <c r="C226" s="6">
        <v>245000</v>
      </c>
      <c r="D226" s="6">
        <v>1</v>
      </c>
      <c r="E226" s="6">
        <v>6</v>
      </c>
      <c r="F226" s="6">
        <v>4</v>
      </c>
      <c r="G226" s="6" t="s">
        <v>36</v>
      </c>
      <c r="H226" s="6" t="s">
        <v>37</v>
      </c>
      <c r="I226" s="6" t="s">
        <v>46</v>
      </c>
      <c r="J226" s="21" t="s">
        <v>779</v>
      </c>
      <c r="K226" s="21">
        <v>0</v>
      </c>
      <c r="L226" s="21">
        <v>0</v>
      </c>
      <c r="M226" s="21">
        <v>0</v>
      </c>
      <c r="N226" s="21">
        <v>0</v>
      </c>
      <c r="O226" s="21">
        <v>0</v>
      </c>
      <c r="P226" s="23" t="str">
        <f>IF(TeamT[[#This Row],[General]]+TeamT[[#This Row],[Agility]]+TeamT[[#This Row],[Strength]]+TeamT[[#This Row],[Passing]]+TeamT[[#This Row],[Mutation]]&gt;0,IF(TeamT[[#This Row],[General]]=1,"G","")&amp;IF(TeamT[[#This Row],[Agility]]=1,"A","")&amp;IF(TeamT[[#This Row],[Strength]]=1,"S","")&amp;IF(TeamT[[#This Row],[Passing]]=1,"P","")&amp;IF(TeamT[[#This Row],[Mutation]]=1,"M",""),"Star")</f>
        <v>Star</v>
      </c>
      <c r="Q226" s="23" t="str">
        <f>IF(TeamT[[#This Row],[General]]=2,"G","")&amp;IF(TeamT[[#This Row],[Agility]]=2,"A","")&amp;IF(TeamT[[#This Row],[Strength]]=2,"S","")&amp;IF(TeamT[[#This Row],[Passing]]=2,"P","")&amp;IF(TeamT[[#This Row],[Mutation]]=2,"M","")</f>
        <v/>
      </c>
      <c r="R226" s="210" t="s">
        <v>783</v>
      </c>
      <c r="S226" s="21">
        <v>3</v>
      </c>
      <c r="T226" s="21">
        <v>4</v>
      </c>
      <c r="U226" s="21">
        <v>9</v>
      </c>
    </row>
    <row r="227" spans="1:21" ht="95.25" x14ac:dyDescent="0.15">
      <c r="A227" s="6" t="s">
        <v>778</v>
      </c>
      <c r="B227" s="6" t="s">
        <v>584</v>
      </c>
      <c r="C227" s="6">
        <v>250000</v>
      </c>
      <c r="D227" s="6">
        <v>1</v>
      </c>
      <c r="E227" s="6">
        <v>5</v>
      </c>
      <c r="F227" s="6">
        <v>5</v>
      </c>
      <c r="G227" s="6" t="s">
        <v>37</v>
      </c>
      <c r="H227" s="6" t="s">
        <v>53</v>
      </c>
      <c r="I227" s="6" t="s">
        <v>46</v>
      </c>
      <c r="J227" s="21" t="s">
        <v>780</v>
      </c>
      <c r="K227" s="21">
        <v>0</v>
      </c>
      <c r="L227" s="21">
        <v>0</v>
      </c>
      <c r="M227" s="21">
        <v>0</v>
      </c>
      <c r="N227" s="21">
        <v>0</v>
      </c>
      <c r="O227" s="21">
        <v>0</v>
      </c>
      <c r="P227" s="23" t="str">
        <f>IF(TeamT[[#This Row],[General]]+TeamT[[#This Row],[Agility]]+TeamT[[#This Row],[Strength]]+TeamT[[#This Row],[Passing]]+TeamT[[#This Row],[Mutation]]&gt;0,IF(TeamT[[#This Row],[General]]=1,"G","")&amp;IF(TeamT[[#This Row],[Agility]]=1,"A","")&amp;IF(TeamT[[#This Row],[Strength]]=1,"S","")&amp;IF(TeamT[[#This Row],[Passing]]=1,"P","")&amp;IF(TeamT[[#This Row],[Mutation]]=1,"M",""),"Star")</f>
        <v>Star</v>
      </c>
      <c r="Q227" s="23" t="str">
        <f>IF(TeamT[[#This Row],[General]]=2,"G","")&amp;IF(TeamT[[#This Row],[Agility]]=2,"A","")&amp;IF(TeamT[[#This Row],[Strength]]=2,"S","")&amp;IF(TeamT[[#This Row],[Passing]]=2,"P","")&amp;IF(TeamT[[#This Row],[Mutation]]=2,"M","")</f>
        <v/>
      </c>
      <c r="R227" s="210" t="s">
        <v>784</v>
      </c>
      <c r="S227" s="21">
        <v>4</v>
      </c>
      <c r="T227" s="21" t="s">
        <v>53</v>
      </c>
      <c r="U227" s="21">
        <v>9</v>
      </c>
    </row>
    <row r="228" spans="1:21" ht="83.25" x14ac:dyDescent="0.15">
      <c r="A228" s="6" t="s">
        <v>781</v>
      </c>
      <c r="B228" s="6" t="s">
        <v>584</v>
      </c>
      <c r="C228" s="6">
        <v>50000</v>
      </c>
      <c r="D228" s="6">
        <v>1</v>
      </c>
      <c r="E228" s="6">
        <v>6</v>
      </c>
      <c r="F228" s="6">
        <v>2</v>
      </c>
      <c r="G228" s="6" t="s">
        <v>36</v>
      </c>
      <c r="H228" s="6" t="s">
        <v>36</v>
      </c>
      <c r="I228" s="6" t="s">
        <v>38</v>
      </c>
      <c r="J228" s="21" t="s">
        <v>785</v>
      </c>
      <c r="K228" s="21">
        <v>0</v>
      </c>
      <c r="L228" s="21">
        <v>0</v>
      </c>
      <c r="M228" s="21">
        <v>0</v>
      </c>
      <c r="N228" s="21">
        <v>0</v>
      </c>
      <c r="O228" s="21">
        <v>0</v>
      </c>
      <c r="P228" s="23" t="str">
        <f>IF(TeamT[[#This Row],[General]]+TeamT[[#This Row],[Agility]]+TeamT[[#This Row],[Strength]]+TeamT[[#This Row],[Passing]]+TeamT[[#This Row],[Mutation]]&gt;0,IF(TeamT[[#This Row],[General]]=1,"G","")&amp;IF(TeamT[[#This Row],[Agility]]=1,"A","")&amp;IF(TeamT[[#This Row],[Strength]]=1,"S","")&amp;IF(TeamT[[#This Row],[Passing]]=1,"P","")&amp;IF(TeamT[[#This Row],[Mutation]]=1,"M",""),"Star")</f>
        <v>Star</v>
      </c>
      <c r="Q228" s="23" t="str">
        <f>IF(TeamT[[#This Row],[General]]=2,"G","")&amp;IF(TeamT[[#This Row],[Agility]]=2,"A","")&amp;IF(TeamT[[#This Row],[Strength]]=2,"S","")&amp;IF(TeamT[[#This Row],[Passing]]=2,"P","")&amp;IF(TeamT[[#This Row],[Mutation]]=2,"M","")</f>
        <v/>
      </c>
      <c r="R228" s="210" t="s">
        <v>786</v>
      </c>
      <c r="S228" s="21">
        <v>3</v>
      </c>
      <c r="T228" s="21">
        <v>3</v>
      </c>
      <c r="U228" s="21">
        <v>8</v>
      </c>
    </row>
    <row r="229" spans="1:21" ht="48.75" x14ac:dyDescent="0.15">
      <c r="A229" s="6" t="s">
        <v>787</v>
      </c>
      <c r="B229" s="6" t="s">
        <v>584</v>
      </c>
      <c r="C229" s="6">
        <v>80000</v>
      </c>
      <c r="D229" s="6">
        <v>1</v>
      </c>
      <c r="E229" s="6">
        <v>4</v>
      </c>
      <c r="F229" s="6">
        <v>7</v>
      </c>
      <c r="G229" s="6" t="s">
        <v>36</v>
      </c>
      <c r="H229" s="6" t="s">
        <v>53</v>
      </c>
      <c r="I229" s="6" t="s">
        <v>38</v>
      </c>
      <c r="J229" s="21" t="s">
        <v>788</v>
      </c>
      <c r="K229" s="21">
        <v>0</v>
      </c>
      <c r="L229" s="21">
        <v>0</v>
      </c>
      <c r="M229" s="21">
        <v>0</v>
      </c>
      <c r="N229" s="21">
        <v>0</v>
      </c>
      <c r="O229" s="21">
        <v>0</v>
      </c>
      <c r="P229" s="23" t="str">
        <f>IF(TeamT[[#This Row],[General]]+TeamT[[#This Row],[Agility]]+TeamT[[#This Row],[Strength]]+TeamT[[#This Row],[Passing]]+TeamT[[#This Row],[Mutation]]&gt;0,IF(TeamT[[#This Row],[General]]=1,"G","")&amp;IF(TeamT[[#This Row],[Agility]]=1,"A","")&amp;IF(TeamT[[#This Row],[Strength]]=1,"S","")&amp;IF(TeamT[[#This Row],[Passing]]=1,"P","")&amp;IF(TeamT[[#This Row],[Mutation]]=1,"M",""),"Star")</f>
        <v>Star</v>
      </c>
      <c r="Q229" s="23" t="str">
        <f>IF(TeamT[[#This Row],[General]]=2,"G","")&amp;IF(TeamT[[#This Row],[Agility]]=2,"A","")&amp;IF(TeamT[[#This Row],[Strength]]=2,"S","")&amp;IF(TeamT[[#This Row],[Passing]]=2,"P","")&amp;IF(TeamT[[#This Row],[Mutation]]=2,"M","")</f>
        <v/>
      </c>
      <c r="R229" s="210" t="s">
        <v>789</v>
      </c>
      <c r="S229" s="21">
        <v>3</v>
      </c>
      <c r="T229" s="21" t="s">
        <v>53</v>
      </c>
      <c r="U229" s="21">
        <v>8</v>
      </c>
    </row>
    <row r="230" spans="1:21" x14ac:dyDescent="0.15">
      <c r="A230" s="6"/>
      <c r="B230" s="6"/>
      <c r="C230" s="6"/>
      <c r="D230" s="6"/>
      <c r="E230" s="6"/>
      <c r="F230" s="6"/>
      <c r="G230" s="6"/>
      <c r="H230" s="6"/>
      <c r="I230" s="6"/>
      <c r="J230" s="21"/>
      <c r="K230" s="21"/>
      <c r="L230" s="21"/>
      <c r="M230" s="21"/>
      <c r="N230" s="21"/>
      <c r="O230" s="21"/>
      <c r="P230" s="23" t="str">
        <f>IF(TeamT[[#This Row],[General]]+TeamT[[#This Row],[Agility]]+TeamT[[#This Row],[Strength]]+TeamT[[#This Row],[Passing]]+TeamT[[#This Row],[Mutation]]&gt;0,IF(TeamT[[#This Row],[General]]=1,"G","")&amp;IF(TeamT[[#This Row],[Agility]]=1,"A","")&amp;IF(TeamT[[#This Row],[Strength]]=1,"S","")&amp;IF(TeamT[[#This Row],[Passing]]=1,"P","")&amp;IF(TeamT[[#This Row],[Mutation]]=1,"M",""),"Star")</f>
        <v>Star</v>
      </c>
      <c r="Q230" s="23" t="str">
        <f>IF(TeamT[[#This Row],[General]]=2,"G","")&amp;IF(TeamT[[#This Row],[Agility]]=2,"A","")&amp;IF(TeamT[[#This Row],[Strength]]=2,"S","")&amp;IF(TeamT[[#This Row],[Passing]]=2,"P","")&amp;IF(TeamT[[#This Row],[Mutation]]=2,"M","")</f>
        <v/>
      </c>
      <c r="R230" s="212"/>
      <c r="S230" s="21"/>
      <c r="T230" s="21"/>
      <c r="U230" s="21"/>
    </row>
  </sheetData>
  <sheetProtection algorithmName="SHA-512" hashValue="esh1jQSh4HCgjC5ZvaLgEyBn+1wGaYjvSif7cDviaPB3ygR3q28RKA6VEXHzNvTQUmD/LmZodP/j9ZWUsIjGQQ==" saltValue="czx6GYB5byp1EYMa3ILG3A==" spinCount="100000" sheet="1" objects="1" scenarios="1"/>
  <phoneticPr fontId="6" type="noConversion"/>
  <conditionalFormatting sqref="K1:O1048576">
    <cfRule type="cellIs" dxfId="58" priority="2" operator="equal">
      <formula>0</formula>
    </cfRule>
  </conditionalFormatting>
  <conditionalFormatting sqref="AA6:AA14">
    <cfRule type="containsErrors" priority="1">
      <formula>ISERROR(AA6)</formula>
    </cfRule>
  </conditionalFormatting>
  <pageMargins left="0" right="0" top="0.39409448818897608" bottom="0.39409448818897608" header="0" footer="0"/>
  <pageSetup paperSize="9" fitToWidth="0" fitToHeight="0" orientation="portrait" r:id="rId1"/>
  <headerFooter>
    <oddHeader>&amp;C&amp;A</oddHeader>
    <oddFooter>&amp;CPagina &amp;P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EE003-2232-49D3-9647-681059580B57}">
  <sheetPr codeName="Foglio5"/>
  <dimension ref="A1:BU34"/>
  <sheetViews>
    <sheetView topLeftCell="K4" zoomScale="108" zoomScaleNormal="108" workbookViewId="0">
      <selection activeCell="V34" sqref="V34"/>
    </sheetView>
  </sheetViews>
  <sheetFormatPr defaultColWidth="8.703125" defaultRowHeight="14.25" x14ac:dyDescent="0.15"/>
  <cols>
    <col min="1" max="1" width="19.859375" style="4" bestFit="1" customWidth="1"/>
    <col min="2" max="2" width="10.296875" style="19" customWidth="1"/>
    <col min="3" max="3" width="12.01171875" style="2" customWidth="1"/>
    <col min="4" max="4" width="13.8515625" style="4" customWidth="1"/>
    <col min="5" max="5" width="61.05078125" style="61" bestFit="1" customWidth="1"/>
    <col min="6" max="6" width="10.171875" style="61" customWidth="1"/>
    <col min="7" max="7" width="12.2578125" style="61" customWidth="1"/>
    <col min="8" max="8" width="8.703125" style="61" customWidth="1"/>
    <col min="9" max="9" width="12.2578125" style="61" customWidth="1"/>
    <col min="10" max="11" width="8.703125" style="61" customWidth="1"/>
    <col min="12" max="12" width="11.890625" style="61" customWidth="1"/>
    <col min="13" max="13" width="13.484375" style="61" customWidth="1"/>
    <col min="14" max="14" width="11.890625" style="61" customWidth="1"/>
    <col min="15" max="15" width="9.55859375" style="61" customWidth="1"/>
    <col min="16" max="17" width="8.703125" style="61" customWidth="1"/>
    <col min="18" max="21" width="8.703125" style="3"/>
    <col min="22" max="22" width="21.453125" style="3" customWidth="1"/>
    <col min="23" max="25" width="8.703125" style="3"/>
    <col min="26" max="26" width="28.5625" style="3" bestFit="1" customWidth="1"/>
    <col min="27" max="27" width="20.83984375" style="3" bestFit="1" customWidth="1"/>
    <col min="28" max="28" width="23.78125" style="55" bestFit="1" customWidth="1"/>
    <col min="29" max="29" width="25.7421875" style="55" bestFit="1" customWidth="1"/>
    <col min="30" max="30" width="23.78125" style="55" bestFit="1" customWidth="1"/>
    <col min="31" max="31" width="22.06640625" style="55" bestFit="1" customWidth="1"/>
    <col min="32" max="32" width="19.3671875" style="55" bestFit="1" customWidth="1"/>
    <col min="33" max="33" width="25.7421875" style="55" bestFit="1" customWidth="1"/>
    <col min="34" max="34" width="19.3671875" style="55" bestFit="1" customWidth="1"/>
    <col min="35" max="35" width="18.6328125" style="55" bestFit="1" customWidth="1"/>
    <col min="36" max="36" width="25.7421875" style="55" bestFit="1" customWidth="1"/>
    <col min="37" max="37" width="19.3671875" style="55" bestFit="1" customWidth="1"/>
    <col min="38" max="39" width="25.7421875" style="55" bestFit="1" customWidth="1"/>
    <col min="40" max="40" width="23.66015625" style="55" bestFit="1" customWidth="1"/>
    <col min="41" max="41" width="25.7421875" style="55" bestFit="1" customWidth="1"/>
    <col min="42" max="42" width="23.53515625" style="55" bestFit="1" customWidth="1"/>
    <col min="43" max="43" width="25.7421875" style="55" bestFit="1" customWidth="1"/>
    <col min="44" max="44" width="22.06640625" style="55" bestFit="1" customWidth="1"/>
    <col min="45" max="46" width="25.7421875" style="55" bestFit="1" customWidth="1"/>
    <col min="47" max="47" width="18.51171875" style="55" bestFit="1" customWidth="1"/>
    <col min="48" max="48" width="23.53515625" style="55" bestFit="1" customWidth="1"/>
    <col min="49" max="49" width="23.53515625" style="55" customWidth="1"/>
    <col min="50" max="50" width="21.57421875" style="55" bestFit="1" customWidth="1"/>
    <col min="51" max="51" width="25.7421875" style="55" bestFit="1" customWidth="1"/>
    <col min="52" max="52" width="18.6328125" style="55" bestFit="1" customWidth="1"/>
    <col min="53" max="53" width="23.53515625" style="55" bestFit="1" customWidth="1"/>
    <col min="54" max="54" width="24.02734375" style="55" bestFit="1" customWidth="1"/>
    <col min="55" max="55" width="23.53515625" style="55" bestFit="1" customWidth="1"/>
    <col min="56" max="56" width="19.3671875" style="55" bestFit="1" customWidth="1"/>
    <col min="57" max="61" width="8.703125" style="3"/>
    <col min="62" max="62" width="6.6171875" style="3" customWidth="1"/>
    <col min="63" max="63" width="5.390625" style="3" bestFit="1" customWidth="1"/>
    <col min="64" max="64" width="7.72265625" style="3" customWidth="1"/>
    <col min="65" max="65" width="5.390625" style="3" bestFit="1" customWidth="1"/>
    <col min="66" max="66" width="8.08984375" style="3" customWidth="1"/>
    <col min="67" max="67" width="5.390625" style="3" bestFit="1" customWidth="1"/>
    <col min="68" max="68" width="8.82421875" style="3" customWidth="1"/>
    <col min="69" max="69" width="5.390625" style="3" bestFit="1" customWidth="1"/>
    <col min="70" max="70" width="3.921875" style="3" bestFit="1" customWidth="1"/>
    <col min="71" max="71" width="7.84375" style="3" bestFit="1" customWidth="1"/>
    <col min="72" max="72" width="5.390625" style="3" bestFit="1" customWidth="1"/>
    <col min="73" max="73" width="19" style="3" customWidth="1"/>
    <col min="74" max="16384" width="8.703125" style="3"/>
  </cols>
  <sheetData>
    <row r="1" spans="1:73" ht="46.15" customHeight="1" x14ac:dyDescent="0.2">
      <c r="A1" s="51" t="s">
        <v>28</v>
      </c>
      <c r="B1" s="20" t="s">
        <v>215</v>
      </c>
      <c r="C1" s="5" t="s">
        <v>216</v>
      </c>
      <c r="D1" s="2" t="s">
        <v>217</v>
      </c>
      <c r="E1" s="52" t="s">
        <v>220</v>
      </c>
      <c r="F1" s="53" t="s">
        <v>278</v>
      </c>
      <c r="G1" s="53" t="s">
        <v>279</v>
      </c>
      <c r="H1" s="53" t="s">
        <v>280</v>
      </c>
      <c r="I1" s="53" t="s">
        <v>281</v>
      </c>
      <c r="J1" s="53" t="s">
        <v>283</v>
      </c>
      <c r="K1" s="53" t="s">
        <v>282</v>
      </c>
      <c r="L1" s="53" t="s">
        <v>284</v>
      </c>
      <c r="M1" s="20" t="s">
        <v>285</v>
      </c>
      <c r="N1" s="20" t="s">
        <v>286</v>
      </c>
      <c r="O1" s="20" t="s">
        <v>287</v>
      </c>
      <c r="P1" s="20" t="s">
        <v>288</v>
      </c>
      <c r="Q1" s="20" t="s">
        <v>289</v>
      </c>
      <c r="R1" s="5"/>
      <c r="S1" s="5"/>
      <c r="T1" s="5"/>
      <c r="V1" s="54" t="s">
        <v>535</v>
      </c>
    </row>
    <row r="2" spans="1:73" ht="22.9" customHeight="1" x14ac:dyDescent="0.15">
      <c r="A2" s="209" t="s">
        <v>576</v>
      </c>
      <c r="B2" s="4">
        <v>50000</v>
      </c>
      <c r="C2" s="93">
        <f>COUNTIF(TeamT[[#All],[Race]],Razze[[#This Row],[Race]])-1</f>
        <v>4</v>
      </c>
      <c r="D2" s="4" t="s">
        <v>219</v>
      </c>
      <c r="E2" s="94" t="str">
        <f t="shared" ref="E2:E24" si="0">_xlfn.CONCAT(IF($F2="Y",$F$1,""),IF($F2&lt;&gt;"-",", ",""),IF($G2="Y",$G$1,""),IF($G2&lt;&gt;"-",", ",""),IF($H2="Y",$H$1,""),IF($H2&lt;&gt;"-",", ",""),IF($I2="Y",$I$1,""),IF($I2&lt;&gt;"-",", ",""),IF($J2="Y",$J$1,""),IF($J2&lt;&gt;"-",", ",""),IF($K2="Y",$K$1,""),IF($K2&lt;&gt;"-",", ",""),IF($L2="Y",$L$1,""),IF($L2&lt;&gt;"-",", ",""),IF($M2="Y",$M$1,""),IF($M2&lt;&gt;"-",", ",""),IF($N2="Y",$N$1,""),IF($N2&lt;&gt;"-",", ",""),IF($O2="Y",$O$1,""),IF($O2&lt;&gt;"-",", ",""),IF($P2="Y",$P$1,""),IF($P2&lt;&gt;"-",", ",""),IF($Q2="Y",$Q$1,""))</f>
        <v xml:space="preserve">Lustrian Superleague, </v>
      </c>
      <c r="F2" s="41" t="s">
        <v>53</v>
      </c>
      <c r="G2" s="41" t="s">
        <v>53</v>
      </c>
      <c r="H2" s="41" t="s">
        <v>53</v>
      </c>
      <c r="I2" s="41" t="s">
        <v>219</v>
      </c>
      <c r="J2" s="41" t="s">
        <v>53</v>
      </c>
      <c r="K2" s="41" t="s">
        <v>53</v>
      </c>
      <c r="L2" s="41" t="s">
        <v>53</v>
      </c>
      <c r="M2" s="41" t="s">
        <v>53</v>
      </c>
      <c r="N2" s="41" t="s">
        <v>53</v>
      </c>
      <c r="O2" s="41" t="s">
        <v>53</v>
      </c>
      <c r="P2" s="41" t="s">
        <v>53</v>
      </c>
      <c r="Q2" s="41" t="s">
        <v>53</v>
      </c>
      <c r="R2" s="5"/>
      <c r="S2" s="5"/>
      <c r="T2" s="5"/>
      <c r="V2" s="91"/>
    </row>
    <row r="3" spans="1:73" s="32" customFormat="1" ht="23.25" x14ac:dyDescent="0.25">
      <c r="A3" s="209" t="s">
        <v>35</v>
      </c>
      <c r="B3" s="19">
        <v>60000</v>
      </c>
      <c r="C3" s="2">
        <f>COUNTIF(TeamT[[#All],[Race]],Razze[[#This Row],[Race]])-1</f>
        <v>3</v>
      </c>
      <c r="D3" s="4" t="s">
        <v>219</v>
      </c>
      <c r="E3" s="4" t="str">
        <f t="shared" si="0"/>
        <v xml:space="preserve">Badlands Brawl, Bribery and Corruption, </v>
      </c>
      <c r="F3" s="6" t="s">
        <v>219</v>
      </c>
      <c r="G3" s="41" t="s">
        <v>53</v>
      </c>
      <c r="H3" s="6" t="s">
        <v>53</v>
      </c>
      <c r="I3" s="6" t="s">
        <v>53</v>
      </c>
      <c r="J3" s="6" t="s">
        <v>53</v>
      </c>
      <c r="K3" s="6" t="s">
        <v>53</v>
      </c>
      <c r="L3" s="6" t="s">
        <v>53</v>
      </c>
      <c r="M3" s="6" t="s">
        <v>53</v>
      </c>
      <c r="N3" s="6" t="s">
        <v>219</v>
      </c>
      <c r="O3" s="6" t="s">
        <v>53</v>
      </c>
      <c r="P3" s="6" t="s">
        <v>53</v>
      </c>
      <c r="Q3" s="6" t="s">
        <v>53</v>
      </c>
      <c r="V3" s="56" t="str">
        <f>HLOOKUP(Roster!$N$28,Reces!$Z$3:$BD$34,1,FALSE)</f>
        <v>Norse</v>
      </c>
      <c r="Z3" s="87" t="s">
        <v>576</v>
      </c>
      <c r="AA3" s="15" t="s">
        <v>35</v>
      </c>
      <c r="AB3" s="15" t="s">
        <v>484</v>
      </c>
      <c r="AC3" s="96" t="s">
        <v>585</v>
      </c>
      <c r="AD3" s="15" t="s">
        <v>536</v>
      </c>
      <c r="AE3" s="15" t="s">
        <v>649</v>
      </c>
      <c r="AF3" s="15" t="s">
        <v>485</v>
      </c>
      <c r="AG3" s="15" t="s">
        <v>17</v>
      </c>
      <c r="AH3" s="15" t="s">
        <v>486</v>
      </c>
      <c r="AI3" s="15" t="s">
        <v>19</v>
      </c>
      <c r="AJ3" s="15" t="s">
        <v>20</v>
      </c>
      <c r="AK3" s="15" t="s">
        <v>590</v>
      </c>
      <c r="AL3" s="15" t="s">
        <v>21</v>
      </c>
      <c r="AM3" s="15" t="s">
        <v>487</v>
      </c>
      <c r="AN3" s="87" t="s">
        <v>720</v>
      </c>
      <c r="AO3" s="15" t="s">
        <v>121</v>
      </c>
      <c r="AP3" s="15" t="s">
        <v>488</v>
      </c>
      <c r="AQ3" s="15" t="s">
        <v>591</v>
      </c>
      <c r="AR3" s="15" t="s">
        <v>23</v>
      </c>
      <c r="AS3" s="15" t="s">
        <v>24</v>
      </c>
      <c r="AT3" s="15" t="s">
        <v>489</v>
      </c>
      <c r="AU3" s="15" t="s">
        <v>25</v>
      </c>
      <c r="AV3" s="15" t="s">
        <v>490</v>
      </c>
      <c r="AW3" s="15" t="s">
        <v>752</v>
      </c>
      <c r="AX3" s="15" t="s">
        <v>26</v>
      </c>
      <c r="AY3" s="15" t="s">
        <v>655</v>
      </c>
      <c r="AZ3" s="15" t="s">
        <v>27</v>
      </c>
      <c r="BA3" s="15" t="s">
        <v>608</v>
      </c>
      <c r="BB3" s="15" t="s">
        <v>537</v>
      </c>
      <c r="BC3" s="15" t="s">
        <v>592</v>
      </c>
      <c r="BD3" s="15" t="s">
        <v>491</v>
      </c>
      <c r="BJ3" s="66" t="s">
        <v>484</v>
      </c>
      <c r="BK3" s="62" t="s">
        <v>565</v>
      </c>
      <c r="BL3" s="66" t="s">
        <v>536</v>
      </c>
      <c r="BM3" s="62" t="s">
        <v>565</v>
      </c>
      <c r="BN3" s="66" t="s">
        <v>489</v>
      </c>
      <c r="BO3" s="62" t="s">
        <v>565</v>
      </c>
      <c r="BP3" s="66" t="s">
        <v>537</v>
      </c>
      <c r="BQ3" s="62" t="s">
        <v>565</v>
      </c>
      <c r="BR3" s="63" t="s">
        <v>566</v>
      </c>
      <c r="BS3" s="67" t="s">
        <v>394</v>
      </c>
      <c r="BT3" s="62" t="s">
        <v>565</v>
      </c>
    </row>
    <row r="4" spans="1:73" x14ac:dyDescent="0.15">
      <c r="A4" s="209" t="s">
        <v>484</v>
      </c>
      <c r="B4" s="19">
        <v>60000</v>
      </c>
      <c r="C4" s="2">
        <f>COUNTIF(TeamT[[#All],[Race]],Razze[[#This Row],[Race]])-1</f>
        <v>5</v>
      </c>
      <c r="D4" s="4" t="s">
        <v>219</v>
      </c>
      <c r="E4" s="4" t="str">
        <f t="shared" si="0"/>
        <v xml:space="preserve">Favoured of …., </v>
      </c>
      <c r="F4" s="6" t="s">
        <v>53</v>
      </c>
      <c r="G4" s="6" t="s">
        <v>53</v>
      </c>
      <c r="H4" s="6" t="s">
        <v>53</v>
      </c>
      <c r="I4" s="6" t="s">
        <v>53</v>
      </c>
      <c r="J4" s="6" t="s">
        <v>53</v>
      </c>
      <c r="K4" s="6" t="s">
        <v>53</v>
      </c>
      <c r="L4" s="6" t="s">
        <v>53</v>
      </c>
      <c r="M4" s="6" t="s">
        <v>53</v>
      </c>
      <c r="N4" s="6" t="s">
        <v>53</v>
      </c>
      <c r="O4" s="6" t="s">
        <v>219</v>
      </c>
      <c r="P4" s="6" t="s">
        <v>53</v>
      </c>
      <c r="Q4" s="6" t="s">
        <v>53</v>
      </c>
      <c r="V4" s="3" t="str">
        <f>IF(HLOOKUP(Roster!$N$28,Reces!$Z$3:$BD$34,2,FALSE)&lt;&gt;"",HLOOKUP(Roster!$N$28,Reces!$Z$3:$BD$34,2,FALSE),"")</f>
        <v/>
      </c>
      <c r="AA4" s="30"/>
      <c r="AB4" s="97"/>
      <c r="AF4" s="97"/>
      <c r="AG4" s="97"/>
      <c r="AH4" s="97"/>
      <c r="AI4" s="97"/>
      <c r="AJ4" s="97"/>
      <c r="AK4" s="97"/>
      <c r="AL4" s="97"/>
      <c r="AM4" s="97"/>
      <c r="AO4" s="97"/>
      <c r="AP4" s="97"/>
      <c r="AQ4" s="97"/>
      <c r="AR4" s="97"/>
      <c r="AS4" s="97"/>
      <c r="AT4" s="97"/>
      <c r="AU4" s="97"/>
      <c r="AV4" s="97"/>
      <c r="AW4" s="97"/>
      <c r="AX4" s="97"/>
      <c r="AY4" s="97"/>
      <c r="AZ4" s="97"/>
      <c r="BA4" s="97"/>
      <c r="BB4" s="97"/>
      <c r="BC4" s="97"/>
      <c r="BD4" s="97"/>
      <c r="BJ4" s="64">
        <f>IF(Roster!$N$28="Chaos Chosen",(IF(OR((Roster!$E5="Chaos Troll"),(Roster!$E5="Chaos Ogre"),(Roster!$E5="Minotaur")),1,0)),0)</f>
        <v>0</v>
      </c>
      <c r="BK4" s="3">
        <f>IF(AND((BJ4=1),($BJ$21&gt;$BJ$22)),1,0)</f>
        <v>0</v>
      </c>
      <c r="BL4" s="64">
        <f>IF(Roster!$N$28=$BL$3,(IF(OR((Roster!$E5="Renegade Troll"),(Roster!$E5="Renegade Ogre"),(Roster!$E5="Renegade Minotaur"),(Roster!$E5="Renegade RatOgre")),1,0)),0)</f>
        <v>0</v>
      </c>
      <c r="BM4" s="3">
        <f>IF(AND((BL4=1),($BL$21&gt;$BL$22)),1,0)</f>
        <v>0</v>
      </c>
      <c r="BN4" s="64">
        <f>IF(Roster!$N$28=$BN$3,(IF(OR((Roster!$E5="Ogre"),(Roster!$E5="Altern Forest Treeman°")),1,0)),0)</f>
        <v>0</v>
      </c>
      <c r="BO4" s="3">
        <f>IF(AND((BN4=1),($BN$21&gt;$BN$22)),1,0)</f>
        <v>0</v>
      </c>
      <c r="BP4" s="64">
        <f>IF(Roster!$N$28=$BP$3,(IF(OR((Roster!$E5="Underworld Troll"),(Roster!$E5="Mutant RatOgre")),1,0)),0)</f>
        <v>0</v>
      </c>
      <c r="BQ4" s="3">
        <f>IF(AND((BP4=1),($BP$21&gt;$BP$22)),1,0)</f>
        <v>0</v>
      </c>
      <c r="BR4" s="3">
        <f>BK4+BM4+BO4+BQ4</f>
        <v>0</v>
      </c>
      <c r="BS4" s="3">
        <f>IF(LEFT(Roster!$E5,1)="*",1,0)</f>
        <v>0</v>
      </c>
      <c r="BT4" s="3">
        <f>IF(AND((BS4=1),($BS$21&gt;$BS$22)),1,0)</f>
        <v>0</v>
      </c>
      <c r="BU4" s="64" t="str">
        <f>IF(LEFT(Roster!$E5,1)="*",VLOOKUP(Roster!$E5,TeamT[],18,FALSE),"")</f>
        <v/>
      </c>
    </row>
    <row r="5" spans="1:73" x14ac:dyDescent="0.15">
      <c r="A5" s="209" t="s">
        <v>585</v>
      </c>
      <c r="B5" s="19">
        <v>70000</v>
      </c>
      <c r="C5" s="92">
        <f>COUNTIF(TeamT[[#All],[Race]],Razze[[#This Row],[Race]])-1</f>
        <v>4</v>
      </c>
      <c r="D5" s="4" t="s">
        <v>219</v>
      </c>
      <c r="E5" s="93" t="str">
        <f t="shared" si="0"/>
        <v xml:space="preserve">Badlands Brawl, Worlds Edge Superleague, Favoured of …., </v>
      </c>
      <c r="F5" s="6" t="s">
        <v>219</v>
      </c>
      <c r="G5" s="6" t="s">
        <v>53</v>
      </c>
      <c r="H5" s="6" t="s">
        <v>53</v>
      </c>
      <c r="I5" s="6" t="s">
        <v>53</v>
      </c>
      <c r="J5" s="6" t="s">
        <v>53</v>
      </c>
      <c r="K5" s="6" t="s">
        <v>53</v>
      </c>
      <c r="L5" s="6" t="s">
        <v>53</v>
      </c>
      <c r="M5" s="6" t="s">
        <v>219</v>
      </c>
      <c r="N5" s="6" t="s">
        <v>53</v>
      </c>
      <c r="O5" s="6" t="s">
        <v>219</v>
      </c>
      <c r="P5" s="6" t="s">
        <v>53</v>
      </c>
      <c r="Q5" s="6" t="s">
        <v>53</v>
      </c>
      <c r="V5" s="3" t="str">
        <f>HLOOKUP(Roster!$N$28,Reces!$Z$3:$BD$34,3,FALSE)</f>
        <v>Norse Rider Lineman</v>
      </c>
      <c r="Z5" s="88" t="s">
        <v>577</v>
      </c>
      <c r="AA5" s="11" t="s">
        <v>492</v>
      </c>
      <c r="AB5" s="11" t="s">
        <v>493</v>
      </c>
      <c r="AC5" s="55" t="s">
        <v>586</v>
      </c>
      <c r="AD5" s="7" t="s">
        <v>494</v>
      </c>
      <c r="AE5" s="7" t="s">
        <v>650</v>
      </c>
      <c r="AF5" s="11" t="s">
        <v>66</v>
      </c>
      <c r="AG5" s="11" t="s">
        <v>495</v>
      </c>
      <c r="AH5" s="11" t="s">
        <v>496</v>
      </c>
      <c r="AI5" s="11" t="s">
        <v>497</v>
      </c>
      <c r="AJ5" s="11" t="s">
        <v>498</v>
      </c>
      <c r="AK5" s="11" t="s">
        <v>595</v>
      </c>
      <c r="AL5" s="11" t="s">
        <v>108</v>
      </c>
      <c r="AM5" s="11" t="s">
        <v>499</v>
      </c>
      <c r="AN5" s="55" t="s">
        <v>721</v>
      </c>
      <c r="AO5" s="11" t="s">
        <v>557</v>
      </c>
      <c r="AP5" s="11" t="s">
        <v>500</v>
      </c>
      <c r="AQ5" s="11" t="s">
        <v>761</v>
      </c>
      <c r="AR5" s="11" t="s">
        <v>501</v>
      </c>
      <c r="AS5" s="11" t="s">
        <v>502</v>
      </c>
      <c r="AT5" s="11" t="s">
        <v>152</v>
      </c>
      <c r="AU5" s="11" t="s">
        <v>503</v>
      </c>
      <c r="AV5" s="11" t="s">
        <v>504</v>
      </c>
      <c r="AW5" s="11" t="s">
        <v>748</v>
      </c>
      <c r="AX5" s="11" t="s">
        <v>505</v>
      </c>
      <c r="AY5" s="11" t="s">
        <v>656</v>
      </c>
      <c r="AZ5" s="11" t="s">
        <v>506</v>
      </c>
      <c r="BA5" s="11" t="s">
        <v>504</v>
      </c>
      <c r="BB5" s="11" t="s">
        <v>507</v>
      </c>
      <c r="BC5" s="11" t="s">
        <v>613</v>
      </c>
      <c r="BD5" s="11" t="s">
        <v>508</v>
      </c>
      <c r="BJ5" s="64">
        <f>IF(Roster!$N$28="Chaos Chosen",(IF(OR((Roster!$E6="Chaos Troll"),(Roster!$E6="Chaos Ogre"),(Roster!$E6="Minotaur")),1,0)),0)</f>
        <v>0</v>
      </c>
      <c r="BK5" s="3">
        <f t="shared" ref="BK5:BK19" si="1">IF(AND((BJ5=1),($BJ$21&gt;$BJ$22)),1,0)</f>
        <v>0</v>
      </c>
      <c r="BL5" s="64">
        <f>IF(Roster!$N$28=$BL$3,(IF(OR((Roster!$E6="Renegade Troll"),(Roster!$E6="Renegade Ogre"),(Roster!$E6="Renegade Minotaur"),(Roster!$E6="Renegade RatOgre")),1,0)),0)</f>
        <v>0</v>
      </c>
      <c r="BM5" s="3">
        <f t="shared" ref="BM5:BM19" si="2">IF(AND((BL5=1),($BL$21&gt;$BL$22)),1,0)</f>
        <v>0</v>
      </c>
      <c r="BN5" s="64">
        <f>IF(Roster!$N$28=$BN$3,(IF(OR((Roster!$E6="Ogre"),(Roster!$E6="Altern Forest Treeman°")),1,0)),0)</f>
        <v>0</v>
      </c>
      <c r="BO5" s="3">
        <f t="shared" ref="BO5:BO19" si="3">IF(AND((BN5=1),($BN$21&gt;$BN$22)),1,0)</f>
        <v>0</v>
      </c>
      <c r="BP5" s="64">
        <f>IF(Roster!$N$28=$BP$3,(IF(OR((Roster!$E6="Underworld Troll"),(Roster!$E6="Mutant RatOgre")),1,0)),0)</f>
        <v>0</v>
      </c>
      <c r="BQ5" s="3">
        <f t="shared" ref="BQ5:BQ19" si="4">IF(AND((BP5=1),($BP$21&gt;$BP$22)),1,0)</f>
        <v>0</v>
      </c>
      <c r="BR5" s="3">
        <f t="shared" ref="BR5:BR18" si="5">BK5+BM5+BO5+BQ5</f>
        <v>0</v>
      </c>
      <c r="BS5" s="3">
        <f>IF(LEFT(Roster!$E6,1)="*",1,0)</f>
        <v>0</v>
      </c>
      <c r="BT5" s="3">
        <f t="shared" ref="BT5:BT19" si="6">IF(AND((BS5=1),($BS$21&gt;$BS$22)),1,0)</f>
        <v>0</v>
      </c>
      <c r="BU5" s="64" t="str">
        <f>IF(LEFT(Roster!$E6,1)="*",VLOOKUP(Roster!$E6,TeamT[],18,FALSE),"")</f>
        <v/>
      </c>
    </row>
    <row r="6" spans="1:73" x14ac:dyDescent="0.15">
      <c r="A6" s="209" t="s">
        <v>536</v>
      </c>
      <c r="B6" s="19">
        <v>70000</v>
      </c>
      <c r="C6" s="2">
        <f>COUNTIF(TeamT[[#All],[Race]],Razze[[#This Row],[Race]])-1</f>
        <v>10</v>
      </c>
      <c r="D6" s="4" t="s">
        <v>219</v>
      </c>
      <c r="E6" s="4" t="str">
        <f t="shared" si="0"/>
        <v xml:space="preserve">Favoured of …., </v>
      </c>
      <c r="F6" s="6" t="s">
        <v>53</v>
      </c>
      <c r="G6" s="6" t="s">
        <v>53</v>
      </c>
      <c r="H6" s="6" t="s">
        <v>53</v>
      </c>
      <c r="I6" s="6" t="s">
        <v>53</v>
      </c>
      <c r="J6" s="6" t="s">
        <v>53</v>
      </c>
      <c r="K6" s="6" t="s">
        <v>53</v>
      </c>
      <c r="L6" s="6" t="s">
        <v>53</v>
      </c>
      <c r="M6" s="6" t="s">
        <v>53</v>
      </c>
      <c r="N6" s="6" t="s">
        <v>53</v>
      </c>
      <c r="O6" s="6" t="s">
        <v>219</v>
      </c>
      <c r="P6" s="6" t="s">
        <v>53</v>
      </c>
      <c r="Q6" s="6" t="s">
        <v>53</v>
      </c>
      <c r="V6" s="3" t="str">
        <f>HLOOKUP(Roster!$N$28,Reces!$Z$3:$BD$34,4,FALSE)</f>
        <v>Beer Boar</v>
      </c>
      <c r="Z6" s="88" t="s">
        <v>578</v>
      </c>
      <c r="AA6" s="7" t="s">
        <v>35</v>
      </c>
      <c r="AB6" s="7" t="s">
        <v>48</v>
      </c>
      <c r="AC6" s="55" t="s">
        <v>587</v>
      </c>
      <c r="AD6" s="7" t="s">
        <v>55</v>
      </c>
      <c r="AE6" s="7" t="s">
        <v>651</v>
      </c>
      <c r="AF6" s="7" t="s">
        <v>67</v>
      </c>
      <c r="AG6" s="7" t="s">
        <v>75</v>
      </c>
      <c r="AH6" s="7" t="s">
        <v>84</v>
      </c>
      <c r="AI6" s="7" t="s">
        <v>89</v>
      </c>
      <c r="AJ6" s="7" t="s">
        <v>509</v>
      </c>
      <c r="AK6" s="7" t="s">
        <v>596</v>
      </c>
      <c r="AL6" s="7" t="s">
        <v>109</v>
      </c>
      <c r="AM6" s="7" t="s">
        <v>115</v>
      </c>
      <c r="AN6" s="55" t="s">
        <v>723</v>
      </c>
      <c r="AO6" s="7" t="s">
        <v>122</v>
      </c>
      <c r="AP6" s="7" t="s">
        <v>510</v>
      </c>
      <c r="AQ6" s="7" t="s">
        <v>762</v>
      </c>
      <c r="AR6" s="7" t="s">
        <v>139</v>
      </c>
      <c r="AS6" s="7" t="s">
        <v>147</v>
      </c>
      <c r="AT6" s="7" t="s">
        <v>153</v>
      </c>
      <c r="AU6" s="7" t="s">
        <v>169</v>
      </c>
      <c r="AV6" s="7" t="s">
        <v>500</v>
      </c>
      <c r="AW6" s="7" t="s">
        <v>749</v>
      </c>
      <c r="AX6" s="7" t="s">
        <v>182</v>
      </c>
      <c r="AY6" s="7" t="s">
        <v>657</v>
      </c>
      <c r="AZ6" s="7" t="s">
        <v>511</v>
      </c>
      <c r="BA6" s="7" t="s">
        <v>609</v>
      </c>
      <c r="BB6" s="7" t="s">
        <v>193</v>
      </c>
      <c r="BC6" s="7" t="s">
        <v>614</v>
      </c>
      <c r="BD6" s="7" t="s">
        <v>202</v>
      </c>
      <c r="BJ6" s="64">
        <f>IF(Roster!$N$28="Chaos Chosen",(IF(OR((Roster!$E7="Chaos Troll"),(Roster!$E7="Chaos Ogre"),(Roster!$E7="Minotaur")),1,0)),0)</f>
        <v>0</v>
      </c>
      <c r="BK6" s="3">
        <f t="shared" si="1"/>
        <v>0</v>
      </c>
      <c r="BL6" s="64">
        <f>IF(Roster!$N$28=$BL$3,(IF(OR((Roster!$E7="Renegade Troll"),(Roster!$E7="Renegade Ogre"),(Roster!$E7="Renegade Minotaur"),(Roster!$E7="Renegade RatOgre")),1,0)),0)</f>
        <v>0</v>
      </c>
      <c r="BM6" s="3">
        <f t="shared" si="2"/>
        <v>0</v>
      </c>
      <c r="BN6" s="64">
        <f>IF(Roster!$N$28=$BN$3,(IF(OR((Roster!$E7="Ogre"),(Roster!$E7="Altern Forest Treeman°")),1,0)),0)</f>
        <v>0</v>
      </c>
      <c r="BO6" s="3">
        <f t="shared" si="3"/>
        <v>0</v>
      </c>
      <c r="BP6" s="64">
        <f>IF(Roster!$N$28=$BP$3,(IF(OR((Roster!$E7="Underworld Troll"),(Roster!$E7="Mutant RatOgre")),1,0)),0)</f>
        <v>0</v>
      </c>
      <c r="BQ6" s="3">
        <f t="shared" si="4"/>
        <v>0</v>
      </c>
      <c r="BR6" s="3">
        <f t="shared" si="5"/>
        <v>0</v>
      </c>
      <c r="BS6" s="3">
        <f>IF(LEFT(Roster!$E7,1)="*",1,0)</f>
        <v>0</v>
      </c>
      <c r="BT6" s="3">
        <f t="shared" si="6"/>
        <v>0</v>
      </c>
      <c r="BU6" s="64" t="str">
        <f>IF(LEFT(Roster!$E7,1)="*",VLOOKUP(Roster!$E7,TeamT[],18,FALSE),"")</f>
        <v/>
      </c>
    </row>
    <row r="7" spans="1:73" x14ac:dyDescent="0.15">
      <c r="A7" s="104" t="s">
        <v>649</v>
      </c>
      <c r="B7" s="19">
        <v>70000</v>
      </c>
      <c r="C7" s="92">
        <f>COUNTIF(TeamT[[#All],[Race]],Razze[[#This Row],[Race]])-1</f>
        <v>4</v>
      </c>
      <c r="D7" s="4" t="s">
        <v>219</v>
      </c>
      <c r="E7" s="93" t="str">
        <f t="shared" si="0"/>
        <v xml:space="preserve">Favoured of …., </v>
      </c>
      <c r="F7" s="6" t="s">
        <v>53</v>
      </c>
      <c r="G7" s="6" t="s">
        <v>53</v>
      </c>
      <c r="H7" s="6" t="s">
        <v>53</v>
      </c>
      <c r="I7" s="6" t="s">
        <v>53</v>
      </c>
      <c r="J7" s="6" t="s">
        <v>53</v>
      </c>
      <c r="K7" s="6" t="s">
        <v>53</v>
      </c>
      <c r="L7" s="6" t="s">
        <v>53</v>
      </c>
      <c r="M7" s="6" t="s">
        <v>53</v>
      </c>
      <c r="N7" s="6" t="s">
        <v>53</v>
      </c>
      <c r="O7" s="6" t="s">
        <v>219</v>
      </c>
      <c r="P7" s="6" t="s">
        <v>53</v>
      </c>
      <c r="Q7" s="6" t="s">
        <v>53</v>
      </c>
      <c r="V7" s="3" t="str">
        <f>HLOOKUP(Roster!$N$28,Reces!$Z$3:$BD$34,5,FALSE)</f>
        <v>Norse Berserker</v>
      </c>
      <c r="Z7" s="88" t="s">
        <v>579</v>
      </c>
      <c r="AA7" s="11" t="s">
        <v>389</v>
      </c>
      <c r="AB7" s="7" t="s">
        <v>49</v>
      </c>
      <c r="AC7" s="55" t="s">
        <v>588</v>
      </c>
      <c r="AD7" s="7" t="s">
        <v>56</v>
      </c>
      <c r="AE7" s="7" t="s">
        <v>652</v>
      </c>
      <c r="AF7" s="7" t="s">
        <v>69</v>
      </c>
      <c r="AG7" s="7" t="s">
        <v>77</v>
      </c>
      <c r="AH7" s="7" t="s">
        <v>85</v>
      </c>
      <c r="AI7" s="7" t="s">
        <v>90</v>
      </c>
      <c r="AJ7" s="7" t="s">
        <v>18</v>
      </c>
      <c r="AK7" s="7" t="s">
        <v>597</v>
      </c>
      <c r="AL7" s="7" t="s">
        <v>110</v>
      </c>
      <c r="AM7" s="7" t="s">
        <v>116</v>
      </c>
      <c r="AN7" s="55" t="s">
        <v>724</v>
      </c>
      <c r="AO7" s="7" t="s">
        <v>123</v>
      </c>
      <c r="AP7" s="7" t="s">
        <v>131</v>
      </c>
      <c r="AQ7" s="7" t="s">
        <v>602</v>
      </c>
      <c r="AR7" s="7" t="s">
        <v>140</v>
      </c>
      <c r="AS7" s="11" t="s">
        <v>148</v>
      </c>
      <c r="AT7" s="7" t="s">
        <v>154</v>
      </c>
      <c r="AU7" s="7" t="s">
        <v>170</v>
      </c>
      <c r="AV7" s="7" t="s">
        <v>130</v>
      </c>
      <c r="AW7" s="7" t="s">
        <v>750</v>
      </c>
      <c r="AX7" s="7" t="s">
        <v>184</v>
      </c>
      <c r="AY7" s="7" t="s">
        <v>658</v>
      </c>
      <c r="AZ7" s="7" t="s">
        <v>512</v>
      </c>
      <c r="BA7" s="7" t="s">
        <v>610</v>
      </c>
      <c r="BB7" s="7" t="s">
        <v>194</v>
      </c>
      <c r="BC7" s="98" t="s">
        <v>615</v>
      </c>
      <c r="BD7" s="7" t="s">
        <v>203</v>
      </c>
      <c r="BJ7" s="64">
        <f>IF(Roster!$N$28="Chaos Chosen",(IF(OR((Roster!$E8="Chaos Troll"),(Roster!$E8="Chaos Ogre"),(Roster!$E8="Minotaur")),1,0)),0)</f>
        <v>0</v>
      </c>
      <c r="BK7" s="3">
        <f t="shared" si="1"/>
        <v>0</v>
      </c>
      <c r="BL7" s="64">
        <f>IF(Roster!$N$28=$BL$3,(IF(OR((Roster!$E8="Renegade Troll"),(Roster!$E8="Renegade Ogre"),(Roster!$E8="Renegade Minotaur"),(Roster!$E8="Renegade RatOgre")),1,0)),0)</f>
        <v>0</v>
      </c>
      <c r="BM7" s="3">
        <f t="shared" si="2"/>
        <v>0</v>
      </c>
      <c r="BN7" s="64">
        <f>IF(Roster!$N$28=$BN$3,(IF(OR((Roster!$E8="Ogre"),(Roster!$E8="Altern Forest Treeman°")),1,0)),0)</f>
        <v>0</v>
      </c>
      <c r="BO7" s="3">
        <f t="shared" si="3"/>
        <v>0</v>
      </c>
      <c r="BP7" s="64">
        <f>IF(Roster!$N$28=$BP$3,(IF(OR((Roster!$E8="Underworld Troll"),(Roster!$E8="Mutant RatOgre")),1,0)),0)</f>
        <v>0</v>
      </c>
      <c r="BQ7" s="3">
        <f t="shared" si="4"/>
        <v>0</v>
      </c>
      <c r="BR7" s="3">
        <f t="shared" si="5"/>
        <v>0</v>
      </c>
      <c r="BS7" s="3">
        <f>IF(LEFT(Roster!$E8,1)="*",1,0)</f>
        <v>0</v>
      </c>
      <c r="BT7" s="3">
        <f t="shared" si="6"/>
        <v>0</v>
      </c>
      <c r="BU7" s="64" t="str">
        <f>IF(LEFT(Roster!$E8,1)="*",VLOOKUP(Roster!$E8,TeamT[],18,FALSE),"")</f>
        <v/>
      </c>
    </row>
    <row r="8" spans="1:73" x14ac:dyDescent="0.15">
      <c r="A8" s="209" t="s">
        <v>485</v>
      </c>
      <c r="B8" s="19">
        <v>50000</v>
      </c>
      <c r="C8" s="2">
        <f>COUNTIF(TeamT[[#All],[Race]],Razze[[#This Row],[Race]])-1</f>
        <v>5</v>
      </c>
      <c r="D8" s="4" t="s">
        <v>219</v>
      </c>
      <c r="E8" s="4" t="str">
        <f t="shared" si="0"/>
        <v xml:space="preserve">Elven Kingdoms League, </v>
      </c>
      <c r="F8" s="6" t="s">
        <v>53</v>
      </c>
      <c r="G8" s="6" t="s">
        <v>219</v>
      </c>
      <c r="H8" s="6" t="s">
        <v>53</v>
      </c>
      <c r="I8" s="6" t="s">
        <v>53</v>
      </c>
      <c r="J8" s="6" t="s">
        <v>53</v>
      </c>
      <c r="K8" s="6" t="s">
        <v>53</v>
      </c>
      <c r="L8" s="6" t="s">
        <v>53</v>
      </c>
      <c r="M8" s="6" t="s">
        <v>53</v>
      </c>
      <c r="N8" s="6" t="s">
        <v>53</v>
      </c>
      <c r="O8" s="6" t="s">
        <v>53</v>
      </c>
      <c r="P8" s="6" t="s">
        <v>53</v>
      </c>
      <c r="Q8" s="6" t="s">
        <v>53</v>
      </c>
      <c r="V8" s="3" t="str">
        <f>HLOOKUP(Roster!$N$28,Reces!$Z$3:$BD$34,6,FALSE)</f>
        <v>Valkyrie</v>
      </c>
      <c r="Z8" s="90" t="s">
        <v>580</v>
      </c>
      <c r="AA8" s="57" t="s">
        <v>539</v>
      </c>
      <c r="AB8" s="7" t="s">
        <v>51</v>
      </c>
      <c r="AC8" s="55" t="s">
        <v>589</v>
      </c>
      <c r="AD8" s="7" t="s">
        <v>57</v>
      </c>
      <c r="AE8" s="7" t="s">
        <v>653</v>
      </c>
      <c r="AF8" s="7" t="s">
        <v>513</v>
      </c>
      <c r="AG8" s="7" t="s">
        <v>79</v>
      </c>
      <c r="AH8" s="11" t="s">
        <v>87</v>
      </c>
      <c r="AI8" s="7" t="s">
        <v>91</v>
      </c>
      <c r="AJ8" s="11" t="s">
        <v>514</v>
      </c>
      <c r="AK8" s="11" t="s">
        <v>598</v>
      </c>
      <c r="AL8" s="7" t="s">
        <v>111</v>
      </c>
      <c r="AM8" s="7" t="s">
        <v>515</v>
      </c>
      <c r="AN8" s="55" t="s">
        <v>727</v>
      </c>
      <c r="AO8" s="11" t="s">
        <v>124</v>
      </c>
      <c r="AP8" s="7" t="s">
        <v>132</v>
      </c>
      <c r="AQ8" s="55" t="s">
        <v>763</v>
      </c>
      <c r="AR8" s="11" t="s">
        <v>141</v>
      </c>
      <c r="AS8" s="57" t="s">
        <v>549</v>
      </c>
      <c r="AT8" s="58" t="s">
        <v>155</v>
      </c>
      <c r="AU8" s="7" t="s">
        <v>516</v>
      </c>
      <c r="AV8" s="7" t="s">
        <v>177</v>
      </c>
      <c r="AW8" s="7" t="s">
        <v>753</v>
      </c>
      <c r="AX8" s="7" t="s">
        <v>183</v>
      </c>
      <c r="AY8" s="11" t="s">
        <v>659</v>
      </c>
      <c r="AZ8" s="7" t="s">
        <v>517</v>
      </c>
      <c r="BA8" s="7" t="s">
        <v>611</v>
      </c>
      <c r="BB8" s="7" t="s">
        <v>518</v>
      </c>
      <c r="BC8" s="228" t="s">
        <v>718</v>
      </c>
      <c r="BD8" s="7" t="s">
        <v>204</v>
      </c>
      <c r="BJ8" s="64">
        <f>IF(Roster!$N$28="Chaos Chosen",(IF(OR((Roster!$E9="Chaos Troll"),(Roster!$E9="Chaos Ogre"),(Roster!$E9="Minotaur")),1,0)),0)</f>
        <v>0</v>
      </c>
      <c r="BK8" s="3">
        <f t="shared" si="1"/>
        <v>0</v>
      </c>
      <c r="BL8" s="64">
        <f>IF(Roster!$N$28=$BL$3,(IF(OR((Roster!$E9="Renegade Troll"),(Roster!$E9="Renegade Ogre"),(Roster!$E9="Renegade Minotaur"),(Roster!$E9="Renegade RatOgre")),1,0)),0)</f>
        <v>0</v>
      </c>
      <c r="BM8" s="3">
        <f t="shared" si="2"/>
        <v>0</v>
      </c>
      <c r="BN8" s="64">
        <f>IF(Roster!$N$28=$BN$3,(IF(OR((Roster!$E9="Ogre"),(Roster!$E9="Altern Forest Treeman°")),1,0)),0)</f>
        <v>0</v>
      </c>
      <c r="BO8" s="3">
        <f t="shared" si="3"/>
        <v>0</v>
      </c>
      <c r="BP8" s="64">
        <f>IF(Roster!$N$28=$BP$3,(IF(OR((Roster!$E9="Underworld Troll"),(Roster!$E9="Mutant RatOgre")),1,0)),0)</f>
        <v>0</v>
      </c>
      <c r="BQ8" s="3">
        <f t="shared" si="4"/>
        <v>0</v>
      </c>
      <c r="BR8" s="3">
        <f t="shared" si="5"/>
        <v>0</v>
      </c>
      <c r="BS8" s="3">
        <f>IF(LEFT(Roster!$E9,1)="*",1,0)</f>
        <v>0</v>
      </c>
      <c r="BT8" s="3">
        <f t="shared" si="6"/>
        <v>0</v>
      </c>
      <c r="BU8" s="64" t="str">
        <f>IF(LEFT(Roster!$E9,1)="*",VLOOKUP(Roster!$E9,TeamT[],18,FALSE),"")</f>
        <v/>
      </c>
    </row>
    <row r="9" spans="1:73" x14ac:dyDescent="0.15">
      <c r="A9" s="209" t="s">
        <v>17</v>
      </c>
      <c r="B9" s="19">
        <v>50000</v>
      </c>
      <c r="C9" s="2">
        <f>COUNTIF(TeamT[[#All],[Race]],Razze[[#This Row],[Race]])-1</f>
        <v>5</v>
      </c>
      <c r="D9" s="4" t="s">
        <v>219</v>
      </c>
      <c r="E9" s="4" t="str">
        <f t="shared" si="0"/>
        <v xml:space="preserve">Old World Classic, Worlds Edge Superleague, </v>
      </c>
      <c r="F9" s="258" t="s">
        <v>53</v>
      </c>
      <c r="G9" s="6" t="s">
        <v>53</v>
      </c>
      <c r="H9" s="6" t="s">
        <v>53</v>
      </c>
      <c r="I9" s="6" t="s">
        <v>53</v>
      </c>
      <c r="J9" s="6" t="s">
        <v>219</v>
      </c>
      <c r="K9" s="6" t="s">
        <v>53</v>
      </c>
      <c r="L9" s="258" t="s">
        <v>53</v>
      </c>
      <c r="M9" s="6" t="s">
        <v>219</v>
      </c>
      <c r="N9" s="6" t="s">
        <v>53</v>
      </c>
      <c r="O9" s="6" t="s">
        <v>53</v>
      </c>
      <c r="P9" s="6" t="s">
        <v>53</v>
      </c>
      <c r="Q9" s="6" t="s">
        <v>53</v>
      </c>
      <c r="V9" s="3" t="str">
        <f>HLOOKUP(Roster!$N$28,Reces!$Z$3:$BD$34,7,FALSE)</f>
        <v>Ulfwerener</v>
      </c>
      <c r="Z9" s="89" t="s">
        <v>622</v>
      </c>
      <c r="AA9" s="252" t="s">
        <v>790</v>
      </c>
      <c r="AB9" s="11" t="s">
        <v>22</v>
      </c>
      <c r="AC9" s="57" t="s">
        <v>600</v>
      </c>
      <c r="AD9" s="7" t="s">
        <v>520</v>
      </c>
      <c r="AE9" s="98" t="s">
        <v>654</v>
      </c>
      <c r="AF9" s="11" t="s">
        <v>72</v>
      </c>
      <c r="AG9" s="11" t="s">
        <v>521</v>
      </c>
      <c r="AH9" s="57" t="s">
        <v>543</v>
      </c>
      <c r="AI9" s="7" t="s">
        <v>92</v>
      </c>
      <c r="AJ9" s="57" t="s">
        <v>556</v>
      </c>
      <c r="AK9" s="98" t="s">
        <v>726</v>
      </c>
      <c r="AL9" s="7" t="s">
        <v>112</v>
      </c>
      <c r="AM9" s="11" t="s">
        <v>24</v>
      </c>
      <c r="AN9" s="57" t="s">
        <v>722</v>
      </c>
      <c r="AO9" s="57" t="s">
        <v>558</v>
      </c>
      <c r="AP9" s="11" t="s">
        <v>523</v>
      </c>
      <c r="AQ9" s="11" t="s">
        <v>603</v>
      </c>
      <c r="AR9" s="57" t="s">
        <v>548</v>
      </c>
      <c r="AS9" s="252" t="s">
        <v>790</v>
      </c>
      <c r="AT9" s="58" t="s">
        <v>159</v>
      </c>
      <c r="AU9" s="7" t="s">
        <v>524</v>
      </c>
      <c r="AV9" s="11" t="s">
        <v>178</v>
      </c>
      <c r="AW9" s="11" t="s">
        <v>751</v>
      </c>
      <c r="AX9" s="11" t="s">
        <v>185</v>
      </c>
      <c r="AY9" s="98" t="s">
        <v>692</v>
      </c>
      <c r="AZ9" s="7" t="s">
        <v>186</v>
      </c>
      <c r="BA9" s="98" t="s">
        <v>612</v>
      </c>
      <c r="BB9" s="7" t="s">
        <v>525</v>
      </c>
      <c r="BC9" s="213" t="s">
        <v>662</v>
      </c>
      <c r="BD9" s="11" t="s">
        <v>205</v>
      </c>
      <c r="BJ9" s="64">
        <f>IF(Roster!$N$28="Chaos Chosen",(IF(OR((Roster!$E10="Chaos Troll"),(Roster!$E10="Chaos Ogre"),(Roster!$E10="Minotaur")),1,0)),0)</f>
        <v>0</v>
      </c>
      <c r="BK9" s="3">
        <f t="shared" si="1"/>
        <v>0</v>
      </c>
      <c r="BL9" s="64">
        <f>IF(Roster!$N$28=$BL$3,(IF(OR((Roster!$E10="Renegade Troll"),(Roster!$E10="Renegade Ogre"),(Roster!$E10="Renegade Minotaur"),(Roster!$E10="Renegade RatOgre")),1,0)),0)</f>
        <v>0</v>
      </c>
      <c r="BM9" s="3">
        <f t="shared" si="2"/>
        <v>0</v>
      </c>
      <c r="BN9" s="64">
        <f>IF(Roster!$N$28=$BN$3,(IF(OR((Roster!$E10="Ogre"),(Roster!$E10="Altern Forest Treeman°")),1,0)),0)</f>
        <v>0</v>
      </c>
      <c r="BO9" s="3">
        <f t="shared" si="3"/>
        <v>0</v>
      </c>
      <c r="BP9" s="64">
        <f>IF(Roster!$N$28=$BP$3,(IF(OR((Roster!$E10="Underworld Troll"),(Roster!$E10="Mutant RatOgre")),1,0)),0)</f>
        <v>0</v>
      </c>
      <c r="BQ9" s="3">
        <f t="shared" si="4"/>
        <v>0</v>
      </c>
      <c r="BR9" s="3">
        <f t="shared" si="5"/>
        <v>0</v>
      </c>
      <c r="BS9" s="3">
        <f>IF(LEFT(Roster!$E10,1)="*",1,0)</f>
        <v>0</v>
      </c>
      <c r="BT9" s="3">
        <f t="shared" si="6"/>
        <v>0</v>
      </c>
      <c r="BU9" s="64" t="str">
        <f>IF(LEFT(Roster!$E10,1)="*",VLOOKUP(Roster!$E10,TeamT[],18,FALSE),"")</f>
        <v/>
      </c>
    </row>
    <row r="10" spans="1:73" x14ac:dyDescent="0.15">
      <c r="A10" s="209" t="s">
        <v>486</v>
      </c>
      <c r="B10" s="19">
        <v>50000</v>
      </c>
      <c r="C10" s="2">
        <f>COUNTIF(TeamT[[#All],[Race]],Razze[[#This Row],[Race]])-1</f>
        <v>4</v>
      </c>
      <c r="D10" s="4" t="s">
        <v>219</v>
      </c>
      <c r="E10" s="4" t="str">
        <f t="shared" si="0"/>
        <v xml:space="preserve">Elven Kingdoms League, </v>
      </c>
      <c r="F10" s="6" t="s">
        <v>53</v>
      </c>
      <c r="G10" s="6" t="s">
        <v>219</v>
      </c>
      <c r="H10" s="6" t="s">
        <v>53</v>
      </c>
      <c r="I10" s="6" t="s">
        <v>53</v>
      </c>
      <c r="J10" s="6" t="s">
        <v>53</v>
      </c>
      <c r="K10" s="6" t="s">
        <v>53</v>
      </c>
      <c r="L10" s="6" t="s">
        <v>53</v>
      </c>
      <c r="M10" s="6" t="s">
        <v>53</v>
      </c>
      <c r="N10" s="6" t="s">
        <v>53</v>
      </c>
      <c r="O10" s="6" t="s">
        <v>53</v>
      </c>
      <c r="P10" s="6" t="s">
        <v>53</v>
      </c>
      <c r="Q10" s="6" t="s">
        <v>53</v>
      </c>
      <c r="V10" s="3" t="str">
        <f>HLOOKUP(Roster!$N$28,Reces!$Z$3:$BD$34,8,FALSE)</f>
        <v>Yhetee</v>
      </c>
      <c r="Z10" s="228" t="s">
        <v>718</v>
      </c>
      <c r="AA10" s="228" t="s">
        <v>718</v>
      </c>
      <c r="AB10" s="57" t="s">
        <v>538</v>
      </c>
      <c r="AC10" s="252" t="s">
        <v>790</v>
      </c>
      <c r="AD10" s="7" t="s">
        <v>58</v>
      </c>
      <c r="AE10" s="228" t="s">
        <v>718</v>
      </c>
      <c r="AF10" s="57" t="s">
        <v>541</v>
      </c>
      <c r="AG10" s="57" t="s">
        <v>542</v>
      </c>
      <c r="AH10" s="228" t="s">
        <v>718</v>
      </c>
      <c r="AI10" s="7" t="s">
        <v>93</v>
      </c>
      <c r="AJ10" s="228" t="s">
        <v>718</v>
      </c>
      <c r="AK10" s="228" t="s">
        <v>718</v>
      </c>
      <c r="AL10" s="11" t="s">
        <v>24</v>
      </c>
      <c r="AM10" s="57" t="s">
        <v>546</v>
      </c>
      <c r="AN10" s="228" t="s">
        <v>718</v>
      </c>
      <c r="AO10" s="228" t="s">
        <v>718</v>
      </c>
      <c r="AP10" s="57" t="s">
        <v>547</v>
      </c>
      <c r="AQ10" s="97" t="s">
        <v>604</v>
      </c>
      <c r="AR10" s="228" t="s">
        <v>718</v>
      </c>
      <c r="AS10" s="228" t="s">
        <v>718</v>
      </c>
      <c r="AT10" s="58" t="s">
        <v>160</v>
      </c>
      <c r="AU10" s="11" t="s">
        <v>171</v>
      </c>
      <c r="AV10" s="57" t="s">
        <v>547</v>
      </c>
      <c r="AW10" s="11" t="s">
        <v>755</v>
      </c>
      <c r="AX10" s="57" t="s">
        <v>552</v>
      </c>
      <c r="AY10" s="228" t="s">
        <v>718</v>
      </c>
      <c r="AZ10" s="11" t="s">
        <v>43</v>
      </c>
      <c r="BA10" s="228" t="s">
        <v>718</v>
      </c>
      <c r="BB10" s="7" t="s">
        <v>527</v>
      </c>
      <c r="BC10" s="59" t="s">
        <v>477</v>
      </c>
      <c r="BD10" s="57" t="s">
        <v>555</v>
      </c>
      <c r="BJ10" s="64">
        <f>IF(Roster!$N$28="Chaos Chosen",(IF(OR((Roster!$E11="Chaos Troll"),(Roster!$E11="Chaos Ogre"),(Roster!$E11="Minotaur")),1,0)),0)</f>
        <v>0</v>
      </c>
      <c r="BK10" s="3">
        <f t="shared" si="1"/>
        <v>0</v>
      </c>
      <c r="BL10" s="64">
        <f>IF(Roster!$N$28=$BL$3,(IF(OR((Roster!$E11="Renegade Troll"),(Roster!$E11="Renegade Ogre"),(Roster!$E11="Renegade Minotaur"),(Roster!$E11="Renegade RatOgre")),1,0)),0)</f>
        <v>0</v>
      </c>
      <c r="BM10" s="3">
        <f t="shared" si="2"/>
        <v>0</v>
      </c>
      <c r="BN10" s="64">
        <f>IF(Roster!$N$28=$BN$3,(IF(OR((Roster!$E11="Ogre"),(Roster!$E11="Altern Forest Treeman°")),1,0)),0)</f>
        <v>0</v>
      </c>
      <c r="BO10" s="3">
        <f t="shared" si="3"/>
        <v>0</v>
      </c>
      <c r="BP10" s="64">
        <f>IF(Roster!$N$28=$BP$3,(IF(OR((Roster!$E11="Underworld Troll"),(Roster!$E11="Mutant RatOgre")),1,0)),0)</f>
        <v>0</v>
      </c>
      <c r="BQ10" s="3">
        <f t="shared" si="4"/>
        <v>0</v>
      </c>
      <c r="BR10" s="3">
        <f t="shared" si="5"/>
        <v>0</v>
      </c>
      <c r="BS10" s="3">
        <f>IF(LEFT(Roster!$E11,1)="*",1,0)</f>
        <v>0</v>
      </c>
      <c r="BT10" s="3">
        <f t="shared" si="6"/>
        <v>0</v>
      </c>
      <c r="BU10" s="64" t="str">
        <f>IF(LEFT(Roster!$E11,1)="*",VLOOKUP(Roster!$E11,TeamT[],18,FALSE),"")</f>
        <v/>
      </c>
    </row>
    <row r="11" spans="1:73" x14ac:dyDescent="0.15">
      <c r="A11" s="209" t="s">
        <v>19</v>
      </c>
      <c r="B11" s="19">
        <v>60000</v>
      </c>
      <c r="C11" s="2">
        <f>COUNTIF(TeamT[[#All],[Race]],Razze[[#This Row],[Race]])-1</f>
        <v>8</v>
      </c>
      <c r="D11" s="4" t="s">
        <v>219</v>
      </c>
      <c r="E11" s="4" t="str">
        <f t="shared" si="0"/>
        <v xml:space="preserve">Badlands Brawl, Underworld Challenge, Bribery and Corruption, </v>
      </c>
      <c r="F11" s="6" t="s">
        <v>219</v>
      </c>
      <c r="G11" s="6" t="s">
        <v>53</v>
      </c>
      <c r="H11" s="6" t="s">
        <v>53</v>
      </c>
      <c r="I11" s="6" t="s">
        <v>53</v>
      </c>
      <c r="J11" s="6" t="s">
        <v>53</v>
      </c>
      <c r="K11" s="6" t="s">
        <v>53</v>
      </c>
      <c r="L11" s="6" t="s">
        <v>219</v>
      </c>
      <c r="M11" s="6" t="s">
        <v>53</v>
      </c>
      <c r="N11" s="6" t="s">
        <v>219</v>
      </c>
      <c r="O11" s="6" t="s">
        <v>53</v>
      </c>
      <c r="P11" s="6" t="s">
        <v>53</v>
      </c>
      <c r="Q11" s="6" t="s">
        <v>53</v>
      </c>
      <c r="V11" s="3" t="str">
        <f>HLOOKUP(Roster!$N$28,Reces!$Z$3:$BD$34,9,FALSE)</f>
        <v>Norse Rider Journeyman</v>
      </c>
      <c r="Z11" s="59" t="s">
        <v>477</v>
      </c>
      <c r="AA11" s="252" t="s">
        <v>791</v>
      </c>
      <c r="AB11" s="228" t="s">
        <v>718</v>
      </c>
      <c r="AC11" s="228" t="s">
        <v>718</v>
      </c>
      <c r="AD11" s="7" t="s">
        <v>60</v>
      </c>
      <c r="AE11" s="252" t="s">
        <v>740</v>
      </c>
      <c r="AF11" s="228" t="s">
        <v>718</v>
      </c>
      <c r="AG11" s="228" t="s">
        <v>718</v>
      </c>
      <c r="AH11" s="59" t="s">
        <v>477</v>
      </c>
      <c r="AI11" s="7" t="s">
        <v>94</v>
      </c>
      <c r="AJ11" s="252" t="s">
        <v>768</v>
      </c>
      <c r="AK11" s="59" t="s">
        <v>477</v>
      </c>
      <c r="AL11" s="57" t="s">
        <v>545</v>
      </c>
      <c r="AM11" s="228" t="s">
        <v>718</v>
      </c>
      <c r="AN11" s="252" t="s">
        <v>740</v>
      </c>
      <c r="AO11" s="59" t="s">
        <v>477</v>
      </c>
      <c r="AP11" s="228" t="s">
        <v>718</v>
      </c>
      <c r="AQ11" s="99" t="s">
        <v>764</v>
      </c>
      <c r="AR11" s="252" t="s">
        <v>740</v>
      </c>
      <c r="AS11" s="252" t="s">
        <v>768</v>
      </c>
      <c r="AT11" s="58" t="s">
        <v>161</v>
      </c>
      <c r="AU11" s="57" t="s">
        <v>551</v>
      </c>
      <c r="AV11" s="228" t="s">
        <v>718</v>
      </c>
      <c r="AW11" s="228" t="s">
        <v>718</v>
      </c>
      <c r="AX11" s="252" t="s">
        <v>790</v>
      </c>
      <c r="AY11" s="59" t="s">
        <v>477</v>
      </c>
      <c r="AZ11" s="57" t="s">
        <v>553</v>
      </c>
      <c r="BA11" s="213" t="s">
        <v>662</v>
      </c>
      <c r="BB11" s="7" t="s">
        <v>195</v>
      </c>
      <c r="BC11" s="9" t="s">
        <v>481</v>
      </c>
      <c r="BD11" s="228" t="s">
        <v>718</v>
      </c>
      <c r="BJ11" s="64">
        <f>IF(Roster!$N$28="Chaos Chosen",(IF(OR((Roster!$E12="Chaos Troll"),(Roster!$E12="Chaos Ogre"),(Roster!$E12="Minotaur")),1,0)),0)</f>
        <v>0</v>
      </c>
      <c r="BK11" s="3">
        <f t="shared" si="1"/>
        <v>0</v>
      </c>
      <c r="BL11" s="64">
        <f>IF(Roster!$N$28=$BL$3,(IF(OR((Roster!$E12="Renegade Troll"),(Roster!$E12="Renegade Ogre"),(Roster!$E12="Renegade Minotaur"),(Roster!$E12="Renegade RatOgre")),1,0)),0)</f>
        <v>0</v>
      </c>
      <c r="BM11" s="3">
        <f t="shared" si="2"/>
        <v>0</v>
      </c>
      <c r="BN11" s="64">
        <f>IF(Roster!$N$28=$BN$3,(IF(OR((Roster!$E12="Ogre"),(Roster!$E12="Altern Forest Treeman°")),1,0)),0)</f>
        <v>0</v>
      </c>
      <c r="BO11" s="3">
        <f t="shared" si="3"/>
        <v>0</v>
      </c>
      <c r="BP11" s="64">
        <f>IF(Roster!$N$28=$BP$3,(IF(OR((Roster!$E12="Underworld Troll"),(Roster!$E12="Mutant RatOgre")),1,0)),0)</f>
        <v>0</v>
      </c>
      <c r="BQ11" s="3">
        <f t="shared" si="4"/>
        <v>0</v>
      </c>
      <c r="BR11" s="3">
        <f t="shared" si="5"/>
        <v>0</v>
      </c>
      <c r="BS11" s="3">
        <f>IF(LEFT(Roster!$E12,1)="*",1,0)</f>
        <v>0</v>
      </c>
      <c r="BT11" s="3">
        <f t="shared" si="6"/>
        <v>0</v>
      </c>
      <c r="BU11" s="64" t="str">
        <f>IF(LEFT(Roster!$E12,1)="*",VLOOKUP(Roster!$E12,TeamT[],18,FALSE),"")</f>
        <v/>
      </c>
    </row>
    <row r="12" spans="1:73" x14ac:dyDescent="0.15">
      <c r="A12" s="209" t="s">
        <v>20</v>
      </c>
      <c r="B12" s="19">
        <v>60000</v>
      </c>
      <c r="C12" s="2">
        <f>COUNTIF(TeamT[[#All],[Race]],Razze[[#This Row],[Race]])-1</f>
        <v>4</v>
      </c>
      <c r="D12" s="4" t="s">
        <v>219</v>
      </c>
      <c r="E12" s="4" t="str">
        <f t="shared" si="0"/>
        <v xml:space="preserve">Halfling Thimble Cup, Old World Classic, </v>
      </c>
      <c r="F12" s="6" t="s">
        <v>53</v>
      </c>
      <c r="G12" s="6" t="s">
        <v>53</v>
      </c>
      <c r="H12" s="6" t="s">
        <v>219</v>
      </c>
      <c r="I12" s="6" t="s">
        <v>53</v>
      </c>
      <c r="J12" s="6" t="s">
        <v>219</v>
      </c>
      <c r="K12" s="6" t="s">
        <v>53</v>
      </c>
      <c r="L12" s="6" t="s">
        <v>53</v>
      </c>
      <c r="M12" s="6" t="s">
        <v>53</v>
      </c>
      <c r="N12" s="6" t="s">
        <v>53</v>
      </c>
      <c r="O12" s="6" t="s">
        <v>53</v>
      </c>
      <c r="P12" s="6" t="s">
        <v>53</v>
      </c>
      <c r="Q12" s="6" t="s">
        <v>53</v>
      </c>
      <c r="V12" s="3" t="str">
        <f>IF(HLOOKUP(Roster!$N$28,Reces!$Z$3:$BD$34,10,FALSE)&lt;&gt;"",HLOOKUP(Roster!$N$28,Reces!$Z$3:$BD$34,10,FALSE),"")</f>
        <v>*Akhorne the Squirrel</v>
      </c>
      <c r="Z12" s="59" t="s">
        <v>529</v>
      </c>
      <c r="AA12" s="59" t="s">
        <v>477</v>
      </c>
      <c r="AB12" s="252" t="s">
        <v>740</v>
      </c>
      <c r="AC12" s="252" t="s">
        <v>768</v>
      </c>
      <c r="AD12" s="7" t="s">
        <v>61</v>
      </c>
      <c r="AE12" s="59" t="s">
        <v>477</v>
      </c>
      <c r="AF12" s="59" t="s">
        <v>477</v>
      </c>
      <c r="AG12" s="252" t="s">
        <v>768</v>
      </c>
      <c r="AH12" s="8" t="s">
        <v>462</v>
      </c>
      <c r="AI12" s="11" t="s">
        <v>43</v>
      </c>
      <c r="AJ12" s="59" t="s">
        <v>477</v>
      </c>
      <c r="AK12" s="8" t="s">
        <v>462</v>
      </c>
      <c r="AL12" s="228" t="s">
        <v>718</v>
      </c>
      <c r="AM12" s="252" t="s">
        <v>768</v>
      </c>
      <c r="AN12" s="59" t="s">
        <v>477</v>
      </c>
      <c r="AO12" s="59" t="s">
        <v>529</v>
      </c>
      <c r="AP12" s="213" t="s">
        <v>662</v>
      </c>
      <c r="AQ12" s="259" t="s">
        <v>718</v>
      </c>
      <c r="AR12" s="59" t="s">
        <v>477</v>
      </c>
      <c r="AS12" s="252" t="s">
        <v>791</v>
      </c>
      <c r="AT12" s="58" t="s">
        <v>162</v>
      </c>
      <c r="AU12" s="252" t="s">
        <v>790</v>
      </c>
      <c r="AV12" s="213" t="s">
        <v>662</v>
      </c>
      <c r="AW12" s="59" t="s">
        <v>477</v>
      </c>
      <c r="AX12" s="228" t="s">
        <v>718</v>
      </c>
      <c r="AY12" s="59" t="s">
        <v>529</v>
      </c>
      <c r="AZ12" s="252" t="s">
        <v>790</v>
      </c>
      <c r="BA12" s="59" t="s">
        <v>477</v>
      </c>
      <c r="BB12" s="11" t="s">
        <v>196</v>
      </c>
      <c r="BC12" s="213" t="s">
        <v>661</v>
      </c>
      <c r="BD12" s="59" t="s">
        <v>477</v>
      </c>
      <c r="BJ12" s="64">
        <f>IF(Roster!$N$28="Chaos Chosen",(IF(OR((Roster!$E13="Chaos Troll"),(Roster!$E13="Chaos Ogre"),(Roster!$E13="Minotaur")),1,0)),0)</f>
        <v>0</v>
      </c>
      <c r="BK12" s="3">
        <f t="shared" si="1"/>
        <v>0</v>
      </c>
      <c r="BL12" s="64">
        <f>IF(Roster!$N$28=$BL$3,(IF(OR((Roster!$E13="Renegade Troll"),(Roster!$E13="Renegade Ogre"),(Roster!$E13="Renegade Minotaur"),(Roster!$E13="Renegade RatOgre")),1,0)),0)</f>
        <v>0</v>
      </c>
      <c r="BM12" s="3">
        <f t="shared" si="2"/>
        <v>0</v>
      </c>
      <c r="BN12" s="64">
        <f>IF(Roster!$N$28=$BN$3,(IF(OR((Roster!$E13="Ogre"),(Roster!$E13="Altern Forest Treeman°")),1,0)),0)</f>
        <v>0</v>
      </c>
      <c r="BO12" s="3">
        <f t="shared" si="3"/>
        <v>0</v>
      </c>
      <c r="BP12" s="64">
        <f>IF(Roster!$N$28=$BP$3,(IF(OR((Roster!$E13="Underworld Troll"),(Roster!$E13="Mutant RatOgre")),1,0)),0)</f>
        <v>0</v>
      </c>
      <c r="BQ12" s="3">
        <f t="shared" si="4"/>
        <v>0</v>
      </c>
      <c r="BR12" s="3">
        <f t="shared" si="5"/>
        <v>0</v>
      </c>
      <c r="BS12" s="3">
        <f>IF(LEFT(Roster!$E13,1)="*",1,0)</f>
        <v>0</v>
      </c>
      <c r="BT12" s="3">
        <f t="shared" si="6"/>
        <v>0</v>
      </c>
      <c r="BU12" s="64" t="str">
        <f>IF(LEFT(Roster!$E13,1)="*",VLOOKUP(Roster!$E13,TeamT[],18,FALSE),"")</f>
        <v/>
      </c>
    </row>
    <row r="13" spans="1:73" x14ac:dyDescent="0.15">
      <c r="A13" s="209" t="s">
        <v>590</v>
      </c>
      <c r="B13" s="19">
        <v>50000</v>
      </c>
      <c r="C13" s="92">
        <f>COUNTIF(TeamT[[#All],[Race]],Razze[[#This Row],[Race]])-1</f>
        <v>4</v>
      </c>
      <c r="D13" s="4" t="s">
        <v>219</v>
      </c>
      <c r="E13" s="93" t="str">
        <f t="shared" si="0"/>
        <v xml:space="preserve">Elven Kingdoms League, </v>
      </c>
      <c r="F13" s="6" t="s">
        <v>53</v>
      </c>
      <c r="G13" s="6" t="s">
        <v>219</v>
      </c>
      <c r="H13" s="6" t="s">
        <v>53</v>
      </c>
      <c r="I13" s="6" t="s">
        <v>53</v>
      </c>
      <c r="J13" s="6" t="s">
        <v>53</v>
      </c>
      <c r="K13" s="6" t="s">
        <v>53</v>
      </c>
      <c r="L13" s="6" t="s">
        <v>53</v>
      </c>
      <c r="M13" s="6" t="s">
        <v>53</v>
      </c>
      <c r="N13" s="6" t="s">
        <v>53</v>
      </c>
      <c r="O13" s="6" t="s">
        <v>53</v>
      </c>
      <c r="P13" s="6" t="s">
        <v>53</v>
      </c>
      <c r="Q13" s="6" t="s">
        <v>53</v>
      </c>
      <c r="V13" s="3" t="str">
        <f>IF(HLOOKUP(Roster!$N$28,Reces!$Z$3:$BD$34,11,FALSE)&lt;&gt;"",HLOOKUP(Roster!$N$28,Reces!$Z$3:$BD$34,11,FALSE),"")</f>
        <v>*Barik Farblast</v>
      </c>
      <c r="Z13" s="9" t="s">
        <v>473</v>
      </c>
      <c r="AA13" s="8" t="s">
        <v>461</v>
      </c>
      <c r="AB13" s="59" t="s">
        <v>477</v>
      </c>
      <c r="AC13" s="252" t="s">
        <v>791</v>
      </c>
      <c r="AD13" s="7" t="s">
        <v>62</v>
      </c>
      <c r="AE13" s="8" t="s">
        <v>466</v>
      </c>
      <c r="AF13" s="8" t="s">
        <v>462</v>
      </c>
      <c r="AG13" s="59" t="s">
        <v>477</v>
      </c>
      <c r="AH13" s="9" t="s">
        <v>464</v>
      </c>
      <c r="AI13" s="57" t="s">
        <v>544</v>
      </c>
      <c r="AJ13" s="9" t="s">
        <v>480</v>
      </c>
      <c r="AK13" s="9" t="s">
        <v>464</v>
      </c>
      <c r="AL13" s="252" t="s">
        <v>768</v>
      </c>
      <c r="AM13" s="59" t="s">
        <v>477</v>
      </c>
      <c r="AN13" s="8" t="s">
        <v>466</v>
      </c>
      <c r="AO13" s="9" t="s">
        <v>473</v>
      </c>
      <c r="AP13" s="59" t="s">
        <v>477</v>
      </c>
      <c r="AQ13" s="252" t="s">
        <v>768</v>
      </c>
      <c r="AR13" s="8" t="s">
        <v>466</v>
      </c>
      <c r="AS13" s="59" t="s">
        <v>477</v>
      </c>
      <c r="AT13" s="58" t="s">
        <v>163</v>
      </c>
      <c r="AU13" s="228" t="s">
        <v>718</v>
      </c>
      <c r="AV13" s="59" t="s">
        <v>477</v>
      </c>
      <c r="AW13" s="59" t="s">
        <v>529</v>
      </c>
      <c r="AX13" s="252" t="s">
        <v>791</v>
      </c>
      <c r="AY13" s="9" t="s">
        <v>473</v>
      </c>
      <c r="AZ13" s="228" t="s">
        <v>718</v>
      </c>
      <c r="BA13" s="9" t="s">
        <v>481</v>
      </c>
      <c r="BB13" s="57" t="s">
        <v>554</v>
      </c>
      <c r="BC13" s="213" t="s">
        <v>660</v>
      </c>
      <c r="BD13" s="8" t="s">
        <v>462</v>
      </c>
      <c r="BJ13" s="64">
        <f>IF(Roster!$N$28="Chaos Chosen",(IF(OR((Roster!$E14="Chaos Troll"),(Roster!$E14="Chaos Ogre"),(Roster!$E14="Minotaur")),1,0)),0)</f>
        <v>0</v>
      </c>
      <c r="BK13" s="3">
        <f t="shared" si="1"/>
        <v>0</v>
      </c>
      <c r="BL13" s="64">
        <f>IF(Roster!$N$28=$BL$3,(IF(OR((Roster!$E14="Renegade Troll"),(Roster!$E14="Renegade Ogre"),(Roster!$E14="Renegade Minotaur"),(Roster!$E14="Renegade RatOgre")),1,0)),0)</f>
        <v>0</v>
      </c>
      <c r="BM13" s="3">
        <f t="shared" si="2"/>
        <v>0</v>
      </c>
      <c r="BN13" s="64">
        <f>IF(Roster!$N$28=$BN$3,(IF(OR((Roster!$E14="Ogre"),(Roster!$E14="Altern Forest Treeman°")),1,0)),0)</f>
        <v>0</v>
      </c>
      <c r="BO13" s="3">
        <f t="shared" si="3"/>
        <v>0</v>
      </c>
      <c r="BP13" s="64">
        <f>IF(Roster!$N$28=$BP$3,(IF(OR((Roster!$E14="Underworld Troll"),(Roster!$E14="Mutant RatOgre")),1,0)),0)</f>
        <v>0</v>
      </c>
      <c r="BQ13" s="3">
        <f t="shared" si="4"/>
        <v>0</v>
      </c>
      <c r="BR13" s="3">
        <f t="shared" si="5"/>
        <v>0</v>
      </c>
      <c r="BS13" s="3">
        <f>IF(LEFT(Roster!$E14,1)="*",1,0)</f>
        <v>0</v>
      </c>
      <c r="BT13" s="3">
        <f t="shared" si="6"/>
        <v>0</v>
      </c>
      <c r="BU13" s="64" t="str">
        <f>IF(LEFT(Roster!$E14,1)="*",VLOOKUP(Roster!$E14,TeamT[],18,FALSE),"")</f>
        <v/>
      </c>
    </row>
    <row r="14" spans="1:73" x14ac:dyDescent="0.15">
      <c r="A14" s="209" t="s">
        <v>21</v>
      </c>
      <c r="B14" s="19">
        <v>50000</v>
      </c>
      <c r="C14" s="2">
        <f>COUNTIF(TeamT[[#All],[Race]],Razze[[#This Row],[Race]])-1</f>
        <v>6</v>
      </c>
      <c r="D14" s="4" t="s">
        <v>219</v>
      </c>
      <c r="E14" s="4" t="str">
        <f t="shared" si="0"/>
        <v xml:space="preserve">Old World Classic, </v>
      </c>
      <c r="F14" s="6" t="s">
        <v>53</v>
      </c>
      <c r="G14" s="6" t="s">
        <v>53</v>
      </c>
      <c r="H14" s="6" t="s">
        <v>53</v>
      </c>
      <c r="I14" s="6" t="s">
        <v>53</v>
      </c>
      <c r="J14" s="6" t="s">
        <v>219</v>
      </c>
      <c r="K14" s="6" t="s">
        <v>53</v>
      </c>
      <c r="L14" s="6" t="s">
        <v>53</v>
      </c>
      <c r="M14" s="6" t="s">
        <v>53</v>
      </c>
      <c r="N14" s="6" t="s">
        <v>53</v>
      </c>
      <c r="O14" s="6" t="s">
        <v>53</v>
      </c>
      <c r="P14" s="6" t="s">
        <v>53</v>
      </c>
      <c r="Q14" s="6" t="s">
        <v>53</v>
      </c>
      <c r="V14" s="3" t="str">
        <f>IF(HLOOKUP(Roster!$N$28,Reces!$Z$3:$BD$34,12,FALSE)&lt;&gt;"",HLOOKUP(Roster!$N$28,Reces!$Z$3:$BD$34,12,FALSE),"")</f>
        <v>*Max Spleenripper</v>
      </c>
      <c r="Z14" s="9" t="s">
        <v>478</v>
      </c>
      <c r="AA14" s="59" t="s">
        <v>519</v>
      </c>
      <c r="AB14" s="8" t="s">
        <v>466</v>
      </c>
      <c r="AC14" s="252" t="s">
        <v>740</v>
      </c>
      <c r="AD14" s="11" t="s">
        <v>63</v>
      </c>
      <c r="AE14" s="252" t="s">
        <v>741</v>
      </c>
      <c r="AF14" s="9" t="s">
        <v>464</v>
      </c>
      <c r="AG14" s="9" t="s">
        <v>481</v>
      </c>
      <c r="AH14" s="8" t="s">
        <v>522</v>
      </c>
      <c r="AI14" s="252" t="s">
        <v>790</v>
      </c>
      <c r="AJ14" s="59" t="s">
        <v>471</v>
      </c>
      <c r="AK14" s="8" t="s">
        <v>522</v>
      </c>
      <c r="AL14" s="59" t="s">
        <v>477</v>
      </c>
      <c r="AM14" s="9" t="s">
        <v>480</v>
      </c>
      <c r="AN14" s="252" t="s">
        <v>741</v>
      </c>
      <c r="AO14" s="9" t="s">
        <v>478</v>
      </c>
      <c r="AP14" s="9" t="s">
        <v>481</v>
      </c>
      <c r="AQ14" s="252" t="s">
        <v>740</v>
      </c>
      <c r="AR14" s="252" t="s">
        <v>741</v>
      </c>
      <c r="AS14" s="9" t="s">
        <v>480</v>
      </c>
      <c r="AT14" s="7" t="s">
        <v>24</v>
      </c>
      <c r="AU14" s="252" t="s">
        <v>791</v>
      </c>
      <c r="AV14" s="9" t="s">
        <v>481</v>
      </c>
      <c r="AW14" s="9" t="s">
        <v>473</v>
      </c>
      <c r="AX14" s="59" t="s">
        <v>477</v>
      </c>
      <c r="AY14" s="9" t="s">
        <v>478</v>
      </c>
      <c r="AZ14" s="252" t="s">
        <v>791</v>
      </c>
      <c r="BA14" s="213" t="s">
        <v>661</v>
      </c>
      <c r="BB14" s="252" t="s">
        <v>790</v>
      </c>
      <c r="BC14" s="59" t="s">
        <v>519</v>
      </c>
      <c r="BD14" s="9" t="s">
        <v>464</v>
      </c>
      <c r="BJ14" s="64">
        <f>IF(Roster!$N$28="Chaos Chosen",(IF(OR((Roster!$E15="Chaos Troll"),(Roster!$E15="Chaos Ogre"),(Roster!$E15="Minotaur")),1,0)),0)</f>
        <v>0</v>
      </c>
      <c r="BK14" s="3">
        <f t="shared" si="1"/>
        <v>0</v>
      </c>
      <c r="BL14" s="64">
        <f>IF(Roster!$N$28=$BL$3,(IF(OR((Roster!$E15="Renegade Troll"),(Roster!$E15="Renegade Ogre"),(Roster!$E15="Renegade Minotaur"),(Roster!$E15="Renegade RatOgre")),1,0)),0)</f>
        <v>0</v>
      </c>
      <c r="BM14" s="3">
        <f t="shared" si="2"/>
        <v>0</v>
      </c>
      <c r="BN14" s="64">
        <f>IF(Roster!$N$28=$BN$3,(IF(OR((Roster!$E15="Ogre"),(Roster!$E15="Altern Forest Treeman°")),1,0)),0)</f>
        <v>0</v>
      </c>
      <c r="BO14" s="3">
        <f t="shared" si="3"/>
        <v>0</v>
      </c>
      <c r="BP14" s="64">
        <f>IF(Roster!$N$28=$BP$3,(IF(OR((Roster!$E15="Underworld Troll"),(Roster!$E15="Mutant RatOgre")),1,0)),0)</f>
        <v>0</v>
      </c>
      <c r="BQ14" s="3">
        <f t="shared" si="4"/>
        <v>0</v>
      </c>
      <c r="BR14" s="3">
        <f t="shared" si="5"/>
        <v>0</v>
      </c>
      <c r="BS14" s="3">
        <f>IF(LEFT(Roster!$E15,1)="*",1,0)</f>
        <v>0</v>
      </c>
      <c r="BT14" s="3">
        <f t="shared" si="6"/>
        <v>0</v>
      </c>
      <c r="BU14" s="64" t="str">
        <f>IF(LEFT(Roster!$E15,1)="*",VLOOKUP(Roster!$E15,TeamT[],18,FALSE),"")</f>
        <v/>
      </c>
    </row>
    <row r="15" spans="1:73" x14ac:dyDescent="0.15">
      <c r="A15" s="209" t="s">
        <v>487</v>
      </c>
      <c r="B15" s="19">
        <v>70000</v>
      </c>
      <c r="C15" s="2">
        <f>COUNTIF(TeamT[[#All],[Race]],Razze[[#This Row],[Race]])-1</f>
        <v>5</v>
      </c>
      <c r="D15" s="4" t="s">
        <v>219</v>
      </c>
      <c r="E15" s="4" t="str">
        <f t="shared" si="0"/>
        <v xml:space="preserve">Old World Classic, </v>
      </c>
      <c r="F15" s="6" t="s">
        <v>53</v>
      </c>
      <c r="G15" s="6" t="s">
        <v>53</v>
      </c>
      <c r="H15" s="6" t="s">
        <v>53</v>
      </c>
      <c r="I15" s="6" t="s">
        <v>53</v>
      </c>
      <c r="J15" s="6" t="s">
        <v>219</v>
      </c>
      <c r="K15" s="6" t="s">
        <v>53</v>
      </c>
      <c r="L15" s="6" t="s">
        <v>53</v>
      </c>
      <c r="M15" s="6" t="s">
        <v>53</v>
      </c>
      <c r="N15" s="6" t="s">
        <v>53</v>
      </c>
      <c r="O15" s="6" t="s">
        <v>53</v>
      </c>
      <c r="P15" s="6" t="s">
        <v>53</v>
      </c>
      <c r="Q15" s="6" t="s">
        <v>53</v>
      </c>
      <c r="V15" s="3" t="str">
        <f>IF(HLOOKUP(Roster!$N$28,Reces!$Z$3:$BD$34,13,FALSE)&lt;&gt;"",HLOOKUP(Roster!$N$28,Reces!$Z$3:$BD$34,13,FALSE),"")</f>
        <v>*Helmut Wulf</v>
      </c>
      <c r="Z15" s="9" t="s">
        <v>534</v>
      </c>
      <c r="AA15" s="59" t="s">
        <v>526</v>
      </c>
      <c r="AB15" s="252" t="s">
        <v>741</v>
      </c>
      <c r="AC15" s="59" t="s">
        <v>477</v>
      </c>
      <c r="AD15" s="57" t="s">
        <v>540</v>
      </c>
      <c r="AE15" s="59" t="s">
        <v>468</v>
      </c>
      <c r="AF15" s="8" t="s">
        <v>522</v>
      </c>
      <c r="AG15" s="9" t="s">
        <v>480</v>
      </c>
      <c r="AH15" s="9" t="s">
        <v>534</v>
      </c>
      <c r="AI15" s="228" t="s">
        <v>718</v>
      </c>
      <c r="AJ15" s="59" t="s">
        <v>529</v>
      </c>
      <c r="AK15" s="9" t="s">
        <v>534</v>
      </c>
      <c r="AL15" s="9" t="s">
        <v>480</v>
      </c>
      <c r="AM15" s="59" t="s">
        <v>471</v>
      </c>
      <c r="AN15" s="59" t="s">
        <v>468</v>
      </c>
      <c r="AO15" s="9" t="s">
        <v>534</v>
      </c>
      <c r="AP15" s="213" t="s">
        <v>661</v>
      </c>
      <c r="AQ15" s="252" t="s">
        <v>477</v>
      </c>
      <c r="AR15" s="59" t="s">
        <v>468</v>
      </c>
      <c r="AS15" s="59" t="s">
        <v>471</v>
      </c>
      <c r="AT15" s="11" t="s">
        <v>532</v>
      </c>
      <c r="AU15" s="59" t="s">
        <v>477</v>
      </c>
      <c r="AV15" s="213" t="s">
        <v>661</v>
      </c>
      <c r="AW15" s="9" t="s">
        <v>478</v>
      </c>
      <c r="AX15" s="252" t="s">
        <v>743</v>
      </c>
      <c r="AY15" s="9" t="s">
        <v>534</v>
      </c>
      <c r="AZ15" s="59" t="s">
        <v>477</v>
      </c>
      <c r="BA15" s="213" t="s">
        <v>660</v>
      </c>
      <c r="BB15" s="228" t="s">
        <v>718</v>
      </c>
      <c r="BC15" s="59" t="s">
        <v>526</v>
      </c>
      <c r="BD15" s="8" t="s">
        <v>522</v>
      </c>
      <c r="BJ15" s="64">
        <f>IF(Roster!$N$28="Chaos Chosen",(IF(OR((Roster!$E16="Chaos Troll"),(Roster!$E16="Chaos Ogre"),(Roster!$E16="Minotaur")),1,0)),0)</f>
        <v>0</v>
      </c>
      <c r="BK15" s="3">
        <f t="shared" si="1"/>
        <v>0</v>
      </c>
      <c r="BL15" s="64">
        <f>IF(Roster!$N$28=$BL$3,(IF(OR((Roster!$E16="Renegade Troll"),(Roster!$E16="Renegade Ogre"),(Roster!$E16="Renegade Minotaur"),(Roster!$E16="Renegade RatOgre")),1,0)),0)</f>
        <v>0</v>
      </c>
      <c r="BM15" s="3">
        <f t="shared" si="2"/>
        <v>0</v>
      </c>
      <c r="BN15" s="64">
        <f>IF(Roster!$N$28=$BN$3,(IF(OR((Roster!$E16="Ogre"),(Roster!$E16="Altern Forest Treeman°")),1,0)),0)</f>
        <v>0</v>
      </c>
      <c r="BO15" s="3">
        <f t="shared" si="3"/>
        <v>0</v>
      </c>
      <c r="BP15" s="64">
        <f>IF(Roster!$N$28=$BP$3,(IF(OR((Roster!$E16="Underworld Troll"),(Roster!$E16="Mutant RatOgre")),1,0)),0)</f>
        <v>0</v>
      </c>
      <c r="BQ15" s="3">
        <f t="shared" si="4"/>
        <v>0</v>
      </c>
      <c r="BR15" s="3">
        <f t="shared" si="5"/>
        <v>0</v>
      </c>
      <c r="BS15" s="3">
        <f>IF(LEFT(Roster!$E16,1)="*",1,0)</f>
        <v>0</v>
      </c>
      <c r="BT15" s="3">
        <f t="shared" si="6"/>
        <v>0</v>
      </c>
      <c r="BU15" s="64" t="str">
        <f>IF(LEFT(Roster!$E16,1)="*",VLOOKUP(Roster!$E16,TeamT[],18,FALSE),"")</f>
        <v/>
      </c>
    </row>
    <row r="16" spans="1:73" x14ac:dyDescent="0.15">
      <c r="A16" s="4" t="s">
        <v>720</v>
      </c>
      <c r="B16" s="19">
        <v>60000</v>
      </c>
      <c r="C16" s="92">
        <f>COUNTIF(TeamT[[#All],[Race]],Razze[[#This Row],[Race]])-1</f>
        <v>4</v>
      </c>
      <c r="D16" s="4" t="s">
        <v>219</v>
      </c>
      <c r="E16" s="93" t="str">
        <f t="shared" si="0"/>
        <v xml:space="preserve">Favoured of …., </v>
      </c>
      <c r="F16" s="6" t="s">
        <v>53</v>
      </c>
      <c r="G16" s="6" t="s">
        <v>53</v>
      </c>
      <c r="H16" s="6" t="s">
        <v>53</v>
      </c>
      <c r="I16" s="6" t="s">
        <v>53</v>
      </c>
      <c r="J16" s="6" t="s">
        <v>53</v>
      </c>
      <c r="K16" s="6" t="s">
        <v>53</v>
      </c>
      <c r="L16" s="6" t="s">
        <v>53</v>
      </c>
      <c r="M16" s="6" t="s">
        <v>53</v>
      </c>
      <c r="N16" s="6" t="s">
        <v>53</v>
      </c>
      <c r="O16" s="6" t="s">
        <v>219</v>
      </c>
      <c r="P16" s="6" t="s">
        <v>53</v>
      </c>
      <c r="Q16" s="6" t="s">
        <v>53</v>
      </c>
      <c r="V16" s="3" t="str">
        <f>IF(HLOOKUP(Roster!$N$28,Reces!$Z$3:$BD$34,14,FALSE)&lt;&gt;"",HLOOKUP(Roster!$N$28,Reces!$Z$3:$BD$34,14,FALSE),"")</f>
        <v>*Rumbelow Sheepskin</v>
      </c>
      <c r="Z16" s="59" t="s">
        <v>519</v>
      </c>
      <c r="AA16" s="9" t="s">
        <v>482</v>
      </c>
      <c r="AB16" s="59" t="s">
        <v>468</v>
      </c>
      <c r="AC16" s="9" t="s">
        <v>481</v>
      </c>
      <c r="AD16" s="228" t="s">
        <v>718</v>
      </c>
      <c r="AE16" s="252" t="s">
        <v>742</v>
      </c>
      <c r="AF16" s="9" t="s">
        <v>534</v>
      </c>
      <c r="AG16" s="59" t="s">
        <v>471</v>
      </c>
      <c r="AH16" s="59" t="s">
        <v>519</v>
      </c>
      <c r="AI16" s="252" t="s">
        <v>791</v>
      </c>
      <c r="AJ16" s="9" t="s">
        <v>473</v>
      </c>
      <c r="AK16" s="59" t="s">
        <v>519</v>
      </c>
      <c r="AL16" s="59" t="s">
        <v>471</v>
      </c>
      <c r="AM16" s="59" t="s">
        <v>529</v>
      </c>
      <c r="AN16" s="252" t="s">
        <v>742</v>
      </c>
      <c r="AO16" s="59" t="s">
        <v>519</v>
      </c>
      <c r="AP16" s="213" t="s">
        <v>660</v>
      </c>
      <c r="AQ16" s="260" t="s">
        <v>480</v>
      </c>
      <c r="AR16" s="252" t="s">
        <v>742</v>
      </c>
      <c r="AS16" s="59" t="s">
        <v>529</v>
      </c>
      <c r="AT16" s="57" t="s">
        <v>550</v>
      </c>
      <c r="AU16" s="8" t="s">
        <v>461</v>
      </c>
      <c r="AV16" s="213" t="s">
        <v>660</v>
      </c>
      <c r="AW16" s="9" t="s">
        <v>534</v>
      </c>
      <c r="AX16" s="8" t="s">
        <v>466</v>
      </c>
      <c r="AY16" s="59" t="s">
        <v>519</v>
      </c>
      <c r="AZ16" s="252" t="s">
        <v>743</v>
      </c>
      <c r="BA16" s="59" t="s">
        <v>519</v>
      </c>
      <c r="BB16" s="252" t="s">
        <v>791</v>
      </c>
      <c r="BC16" s="59" t="s">
        <v>530</v>
      </c>
      <c r="BD16" s="9" t="s">
        <v>534</v>
      </c>
      <c r="BJ16" s="64">
        <f>IF(Roster!$N$28="Chaos Chosen",(IF(OR((Roster!$E17="Chaos Troll"),(Roster!$E17="Chaos Ogre"),(Roster!$E17="Minotaur")),1,0)),0)</f>
        <v>0</v>
      </c>
      <c r="BK16" s="3">
        <f t="shared" si="1"/>
        <v>0</v>
      </c>
      <c r="BL16" s="64">
        <f>IF(Roster!$N$28=$BL$3,(IF(OR((Roster!$E17="Renegade Troll"),(Roster!$E17="Renegade Ogre"),(Roster!$E17="Renegade Minotaur"),(Roster!$E17="Renegade RatOgre")),1,0)),0)</f>
        <v>0</v>
      </c>
      <c r="BM16" s="3">
        <f t="shared" si="2"/>
        <v>0</v>
      </c>
      <c r="BN16" s="64">
        <f>IF(Roster!$N$28=$BN$3,(IF(OR((Roster!$E17="Ogre"),(Roster!$E17="Altern Forest Treeman°")),1,0)),0)</f>
        <v>0</v>
      </c>
      <c r="BO16" s="3">
        <f t="shared" si="3"/>
        <v>0</v>
      </c>
      <c r="BP16" s="64">
        <f>IF(Roster!$N$28=$BP$3,(IF(OR((Roster!$E17="Underworld Troll"),(Roster!$E17="Mutant RatOgre")),1,0)),0)</f>
        <v>0</v>
      </c>
      <c r="BQ16" s="3">
        <f t="shared" si="4"/>
        <v>0</v>
      </c>
      <c r="BR16" s="3">
        <f t="shared" si="5"/>
        <v>0</v>
      </c>
      <c r="BS16" s="3">
        <f>IF(LEFT(Roster!$E17,1)="*",1,0)</f>
        <v>0</v>
      </c>
      <c r="BT16" s="3">
        <f t="shared" si="6"/>
        <v>0</v>
      </c>
      <c r="BU16" s="64" t="str">
        <f>IF(LEFT(Roster!$E17,1)="*",VLOOKUP(Roster!$E17,TeamT[],18,FALSE),"")</f>
        <v/>
      </c>
    </row>
    <row r="17" spans="1:73" x14ac:dyDescent="0.15">
      <c r="A17" s="209" t="s">
        <v>121</v>
      </c>
      <c r="B17" s="19">
        <v>70000</v>
      </c>
      <c r="C17" s="2">
        <f>COUNTIF(TeamT[[#All],[Race]],Razze[[#This Row],[Race]])-1</f>
        <v>4</v>
      </c>
      <c r="D17" s="4" t="s">
        <v>219</v>
      </c>
      <c r="E17" s="4" t="str">
        <f t="shared" si="0"/>
        <v xml:space="preserve">Lustrian Superleague, </v>
      </c>
      <c r="F17" s="6" t="s">
        <v>53</v>
      </c>
      <c r="G17" s="6" t="s">
        <v>53</v>
      </c>
      <c r="H17" s="6" t="s">
        <v>53</v>
      </c>
      <c r="I17" s="6" t="s">
        <v>219</v>
      </c>
      <c r="J17" s="6" t="s">
        <v>53</v>
      </c>
      <c r="K17" s="6" t="s">
        <v>53</v>
      </c>
      <c r="L17" s="6" t="s">
        <v>53</v>
      </c>
      <c r="M17" s="6" t="s">
        <v>53</v>
      </c>
      <c r="N17" s="6" t="s">
        <v>53</v>
      </c>
      <c r="O17" s="6" t="s">
        <v>53</v>
      </c>
      <c r="P17" s="6" t="s">
        <v>53</v>
      </c>
      <c r="Q17" s="6" t="s">
        <v>53</v>
      </c>
      <c r="V17" s="3" t="str">
        <f>IF(HLOOKUP(Roster!$N$28,Reces!$Z$3:$BD$34,15,FALSE)&lt;&gt;"",HLOOKUP(Roster!$N$28,Reces!$Z$3:$BD$34,15,FALSE),"")</f>
        <v>*Thorsson Stoutmead</v>
      </c>
      <c r="Z17" s="59" t="s">
        <v>526</v>
      </c>
      <c r="AA17" s="9" t="s">
        <v>479</v>
      </c>
      <c r="AB17" s="252" t="s">
        <v>742</v>
      </c>
      <c r="AC17" s="9" t="s">
        <v>480</v>
      </c>
      <c r="AD17" s="252" t="s">
        <v>740</v>
      </c>
      <c r="AE17" s="59" t="s">
        <v>519</v>
      </c>
      <c r="AF17" s="59" t="s">
        <v>519</v>
      </c>
      <c r="AG17" s="59" t="s">
        <v>529</v>
      </c>
      <c r="AH17" s="59" t="s">
        <v>526</v>
      </c>
      <c r="AI17" s="59" t="s">
        <v>477</v>
      </c>
      <c r="AJ17" s="9" t="s">
        <v>478</v>
      </c>
      <c r="AK17" s="59" t="s">
        <v>526</v>
      </c>
      <c r="AL17" s="59" t="s">
        <v>529</v>
      </c>
      <c r="AM17" s="9" t="s">
        <v>473</v>
      </c>
      <c r="AN17" s="59" t="s">
        <v>519</v>
      </c>
      <c r="AO17" s="59" t="s">
        <v>526</v>
      </c>
      <c r="AP17" s="59" t="s">
        <v>519</v>
      </c>
      <c r="AQ17" s="252" t="s">
        <v>767</v>
      </c>
      <c r="AR17" s="59" t="s">
        <v>519</v>
      </c>
      <c r="AS17" s="9" t="s">
        <v>473</v>
      </c>
      <c r="AT17" s="228" t="s">
        <v>718</v>
      </c>
      <c r="AU17" s="59" t="s">
        <v>519</v>
      </c>
      <c r="AV17" s="59" t="s">
        <v>519</v>
      </c>
      <c r="AW17" s="59" t="s">
        <v>519</v>
      </c>
      <c r="AX17" s="59" t="s">
        <v>468</v>
      </c>
      <c r="AY17" s="59" t="s">
        <v>526</v>
      </c>
      <c r="AZ17" s="8" t="s">
        <v>466</v>
      </c>
      <c r="BA17" s="59" t="s">
        <v>526</v>
      </c>
      <c r="BB17" s="59" t="s">
        <v>477</v>
      </c>
      <c r="BC17" s="59"/>
      <c r="BD17" s="59" t="s">
        <v>519</v>
      </c>
      <c r="BJ17" s="64">
        <f>IF(Roster!$N$28="Chaos Chosen",(IF(OR((Roster!$E18="Chaos Troll"),(Roster!$E18="Chaos Ogre"),(Roster!$E18="Minotaur")),1,0)),0)</f>
        <v>0</v>
      </c>
      <c r="BK17" s="3">
        <f t="shared" si="1"/>
        <v>0</v>
      </c>
      <c r="BL17" s="64">
        <f>IF(Roster!$N$28=$BL$3,(IF(OR((Roster!$E18="Renegade Troll"),(Roster!$E18="Renegade Ogre"),(Roster!$E18="Renegade Minotaur"),(Roster!$E18="Renegade RatOgre")),1,0)),0)</f>
        <v>0</v>
      </c>
      <c r="BM17" s="3">
        <f t="shared" si="2"/>
        <v>0</v>
      </c>
      <c r="BN17" s="64">
        <f>IF(Roster!$N$28=$BN$3,(IF(OR((Roster!$E18="Ogre"),(Roster!$E18="Altern Forest Treeman°")),1,0)),0)</f>
        <v>0</v>
      </c>
      <c r="BO17" s="3">
        <f t="shared" si="3"/>
        <v>0</v>
      </c>
      <c r="BP17" s="64">
        <f>IF(Roster!$N$28=$BP$3,(IF(OR((Roster!$E18="Underworld Troll"),(Roster!$E18="Mutant RatOgre")),1,0)),0)</f>
        <v>0</v>
      </c>
      <c r="BQ17" s="3">
        <f t="shared" si="4"/>
        <v>0</v>
      </c>
      <c r="BR17" s="3">
        <f t="shared" si="5"/>
        <v>0</v>
      </c>
      <c r="BS17" s="3">
        <f>IF(LEFT(Roster!$E18,1)="*",1,0)</f>
        <v>0</v>
      </c>
      <c r="BT17" s="3">
        <f t="shared" si="6"/>
        <v>0</v>
      </c>
      <c r="BU17" s="64" t="str">
        <f>IF(LEFT(Roster!$E18,1)="*",VLOOKUP(Roster!$E18,TeamT[],18,FALSE),"")</f>
        <v/>
      </c>
    </row>
    <row r="18" spans="1:73" x14ac:dyDescent="0.15">
      <c r="A18" s="209" t="s">
        <v>488</v>
      </c>
      <c r="B18" s="19">
        <v>70000</v>
      </c>
      <c r="C18" s="2">
        <f>COUNTIF(TeamT[[#All],[Race]],Razze[[#This Row],[Race]])-1</f>
        <v>5</v>
      </c>
      <c r="D18" s="4" t="s">
        <v>218</v>
      </c>
      <c r="E18" s="4" t="str">
        <f t="shared" si="0"/>
        <v>Sylvanian Spotlight, Masters of Undeath</v>
      </c>
      <c r="F18" s="6" t="s">
        <v>53</v>
      </c>
      <c r="G18" s="6" t="s">
        <v>53</v>
      </c>
      <c r="H18" s="6" t="s">
        <v>53</v>
      </c>
      <c r="I18" s="6" t="s">
        <v>53</v>
      </c>
      <c r="J18" s="6" t="s">
        <v>53</v>
      </c>
      <c r="K18" s="6" t="s">
        <v>219</v>
      </c>
      <c r="L18" s="6" t="s">
        <v>53</v>
      </c>
      <c r="M18" s="6" t="s">
        <v>53</v>
      </c>
      <c r="N18" s="6" t="s">
        <v>53</v>
      </c>
      <c r="O18" s="6" t="s">
        <v>53</v>
      </c>
      <c r="P18" s="6" t="s">
        <v>53</v>
      </c>
      <c r="Q18" s="6" t="s">
        <v>219</v>
      </c>
      <c r="V18" s="3" t="str">
        <f>IF(HLOOKUP(Roster!$N$28,Reces!$Z$3:$BD$34,16,FALSE)&lt;&gt;"",HLOOKUP(Roster!$N$28,Reces!$Z$3:$BD$34,16,FALSE),"")</f>
        <v>*Glart Smashrip</v>
      </c>
      <c r="Z18" s="9" t="s">
        <v>479</v>
      </c>
      <c r="AB18" s="59" t="s">
        <v>519</v>
      </c>
      <c r="AC18" s="8" t="s">
        <v>466</v>
      </c>
      <c r="AD18" s="59" t="s">
        <v>477</v>
      </c>
      <c r="AE18" s="59" t="s">
        <v>526</v>
      </c>
      <c r="AF18" s="59" t="s">
        <v>526</v>
      </c>
      <c r="AG18" s="9" t="s">
        <v>473</v>
      </c>
      <c r="AH18" s="9" t="s">
        <v>459</v>
      </c>
      <c r="AI18" s="252" t="s">
        <v>743</v>
      </c>
      <c r="AJ18" s="9" t="s">
        <v>660</v>
      </c>
      <c r="AK18" s="9" t="s">
        <v>459</v>
      </c>
      <c r="AL18" s="9" t="s">
        <v>473</v>
      </c>
      <c r="AM18" s="9" t="s">
        <v>478</v>
      </c>
      <c r="AN18" s="59" t="s">
        <v>526</v>
      </c>
      <c r="AO18" s="9" t="s">
        <v>479</v>
      </c>
      <c r="AP18" s="59" t="s">
        <v>526</v>
      </c>
      <c r="AQ18" s="261" t="s">
        <v>466</v>
      </c>
      <c r="AR18" s="59" t="s">
        <v>526</v>
      </c>
      <c r="AS18" s="9" t="s">
        <v>478</v>
      </c>
      <c r="AT18" s="252" t="s">
        <v>768</v>
      </c>
      <c r="AU18" s="59" t="s">
        <v>526</v>
      </c>
      <c r="AV18" s="59" t="s">
        <v>526</v>
      </c>
      <c r="AW18" s="59" t="s">
        <v>526</v>
      </c>
      <c r="AX18" s="8" t="s">
        <v>461</v>
      </c>
      <c r="AY18" s="9" t="s">
        <v>479</v>
      </c>
      <c r="AZ18" s="59" t="s">
        <v>468</v>
      </c>
      <c r="BA18" s="59" t="s">
        <v>530</v>
      </c>
      <c r="BB18" s="252" t="s">
        <v>743</v>
      </c>
      <c r="BC18" s="59"/>
      <c r="BD18" s="59" t="s">
        <v>526</v>
      </c>
      <c r="BJ18" s="64">
        <f>IF(Roster!$N$28="Chaos Chosen",(IF(OR((Roster!$E19="Chaos Troll"),(Roster!$E19="Chaos Ogre"),(Roster!$E19="Minotaur")),1,0)),0)</f>
        <v>0</v>
      </c>
      <c r="BK18" s="3">
        <f t="shared" si="1"/>
        <v>0</v>
      </c>
      <c r="BL18" s="64">
        <f>IF(Roster!$N$28=$BL$3,(IF(OR((Roster!$E19="Renegade Troll"),(Roster!$E19="Renegade Ogre"),(Roster!$E19="Renegade Minotaur"),(Roster!$E19="Renegade RatOgre")),1,0)),0)</f>
        <v>0</v>
      </c>
      <c r="BM18" s="3">
        <f t="shared" si="2"/>
        <v>0</v>
      </c>
      <c r="BN18" s="64">
        <f>IF(Roster!$N$28=$BN$3,(IF(OR((Roster!$E19="Ogre"),(Roster!$E19="Altern Forest Treeman°")),1,0)),0)</f>
        <v>0</v>
      </c>
      <c r="BO18" s="3">
        <f t="shared" si="3"/>
        <v>0</v>
      </c>
      <c r="BP18" s="64">
        <f>IF(Roster!$N$28=$BP$3,(IF(OR((Roster!$E19="Underworld Troll"),(Roster!$E19="Mutant RatOgre")),1,0)),0)</f>
        <v>0</v>
      </c>
      <c r="BQ18" s="3">
        <f t="shared" si="4"/>
        <v>0</v>
      </c>
      <c r="BR18" s="3">
        <f t="shared" si="5"/>
        <v>0</v>
      </c>
      <c r="BS18" s="3">
        <f>IF(LEFT(Roster!$E19,1)="*",1,0)</f>
        <v>0</v>
      </c>
      <c r="BT18" s="3">
        <f t="shared" si="6"/>
        <v>0</v>
      </c>
      <c r="BU18" s="64" t="str">
        <f>IF(LEFT(Roster!$E19,1)="*",VLOOKUP(Roster!$E19,TeamT[],18,FALSE),"")</f>
        <v/>
      </c>
    </row>
    <row r="19" spans="1:73" x14ac:dyDescent="0.15">
      <c r="A19" s="209" t="s">
        <v>591</v>
      </c>
      <c r="B19" s="19">
        <v>60000</v>
      </c>
      <c r="C19" s="92">
        <f>COUNTIF(TeamT[[#All],[Race]],Razze[[#This Row],[Race]])-1</f>
        <v>6</v>
      </c>
      <c r="D19" s="4" t="s">
        <v>219</v>
      </c>
      <c r="E19" s="93" t="str">
        <f t="shared" si="0"/>
        <v xml:space="preserve">Old World Classic, Favoured of …., </v>
      </c>
      <c r="F19" s="6" t="s">
        <v>53</v>
      </c>
      <c r="G19" s="6" t="s">
        <v>53</v>
      </c>
      <c r="H19" s="6" t="s">
        <v>53</v>
      </c>
      <c r="I19" s="6" t="s">
        <v>53</v>
      </c>
      <c r="J19" s="6" t="s">
        <v>219</v>
      </c>
      <c r="K19" s="6" t="s">
        <v>53</v>
      </c>
      <c r="L19" s="6" t="s">
        <v>53</v>
      </c>
      <c r="M19" s="6" t="s">
        <v>53</v>
      </c>
      <c r="N19" s="6" t="s">
        <v>53</v>
      </c>
      <c r="O19" s="6" t="s">
        <v>219</v>
      </c>
      <c r="P19" s="6" t="s">
        <v>53</v>
      </c>
      <c r="Q19" s="6" t="s">
        <v>53</v>
      </c>
      <c r="V19" s="3" t="str">
        <f>IF(HLOOKUP(Roster!$N$28,Reces!$Z$3:$BD$34,17,FALSE)&lt;&gt;"",HLOOKUP(Roster!$N$28,Reces!$Z$3:$BD$34,17,FALSE),"")</f>
        <v>*Grim Ironjaw</v>
      </c>
      <c r="AB19" s="59" t="s">
        <v>526</v>
      </c>
      <c r="AC19" s="59" t="s">
        <v>471</v>
      </c>
      <c r="AD19" s="8" t="s">
        <v>466</v>
      </c>
      <c r="AE19" s="9" t="s">
        <v>467</v>
      </c>
      <c r="AF19" s="9" t="s">
        <v>459</v>
      </c>
      <c r="AG19" s="9" t="s">
        <v>478</v>
      </c>
      <c r="AH19" s="9" t="s">
        <v>531</v>
      </c>
      <c r="AI19" s="8" t="s">
        <v>466</v>
      </c>
      <c r="AJ19" s="59" t="s">
        <v>519</v>
      </c>
      <c r="AK19" s="9" t="s">
        <v>531</v>
      </c>
      <c r="AL19" s="9" t="s">
        <v>478</v>
      </c>
      <c r="AM19" s="9" t="s">
        <v>660</v>
      </c>
      <c r="AN19" s="9" t="s">
        <v>467</v>
      </c>
      <c r="AP19" s="59" t="s">
        <v>530</v>
      </c>
      <c r="AQ19" s="252" t="s">
        <v>471</v>
      </c>
      <c r="AR19" s="9" t="s">
        <v>467</v>
      </c>
      <c r="AS19" s="8" t="s">
        <v>461</v>
      </c>
      <c r="AT19" s="59" t="s">
        <v>477</v>
      </c>
      <c r="AU19" s="9" t="s">
        <v>482</v>
      </c>
      <c r="AV19" s="59" t="s">
        <v>530</v>
      </c>
      <c r="AW19" s="9" t="s">
        <v>479</v>
      </c>
      <c r="AX19" s="59" t="s">
        <v>519</v>
      </c>
      <c r="AY19" s="10"/>
      <c r="AZ19" s="8" t="s">
        <v>461</v>
      </c>
      <c r="BA19" s="9"/>
      <c r="BB19" s="8" t="s">
        <v>466</v>
      </c>
      <c r="BC19" s="59"/>
      <c r="BD19" s="9" t="s">
        <v>459</v>
      </c>
      <c r="BJ19" s="64">
        <f>IF(Roster!$N$28="Chaos Chosen",(IF(OR((Roster!$E20="Chaos Troll"),(Roster!$E20="Chaos Ogre"),(Roster!$E20="Minotaur")),1,0)),0)</f>
        <v>0</v>
      </c>
      <c r="BK19" s="3">
        <f t="shared" si="1"/>
        <v>0</v>
      </c>
      <c r="BL19" s="64">
        <f>IF(Roster!$N$28=$BL$3,(IF(OR((Roster!$E20="Renegade Troll"),(Roster!$E20="Renegade Ogre"),(Roster!$E20="Renegade Minotaur"),(Roster!$E20="Renegade RatOgre")),1,0)),0)</f>
        <v>0</v>
      </c>
      <c r="BM19" s="3">
        <f t="shared" si="2"/>
        <v>0</v>
      </c>
      <c r="BN19" s="64">
        <f>IF(Roster!$N$28=$BN$3,(IF(OR((Roster!$E20="Ogre"),(Roster!$E20="Altern Forest Treeman°")),1,0)),0)</f>
        <v>0</v>
      </c>
      <c r="BO19" s="3">
        <f t="shared" si="3"/>
        <v>0</v>
      </c>
      <c r="BP19" s="64">
        <f>IF(Roster!$N$28=$BP$3,(IF(OR((Roster!$E20="Underworld Troll"),(Roster!$E20="Mutant RatOgre")),1,0)),0)</f>
        <v>0</v>
      </c>
      <c r="BQ19" s="3">
        <f t="shared" si="4"/>
        <v>0</v>
      </c>
      <c r="BR19" s="3">
        <f>BK19+BM19+BO19+BQ19</f>
        <v>0</v>
      </c>
      <c r="BS19" s="3">
        <f>IF(LEFT(Roster!$E20,1)="*",1,0)</f>
        <v>0</v>
      </c>
      <c r="BT19" s="3">
        <f t="shared" si="6"/>
        <v>0</v>
      </c>
      <c r="BU19" s="64" t="str">
        <f>IF(LEFT(Roster!$E20,1)="*",VLOOKUP(Roster!$E20,TeamT[],18,FALSE),"")</f>
        <v/>
      </c>
    </row>
    <row r="20" spans="1:73" x14ac:dyDescent="0.15">
      <c r="A20" s="209" t="s">
        <v>23</v>
      </c>
      <c r="B20" s="19">
        <v>70000</v>
      </c>
      <c r="C20" s="2">
        <f>COUNTIF(TeamT[[#All],[Race]],Razze[[#This Row],[Race]])-1</f>
        <v>4</v>
      </c>
      <c r="D20" s="4" t="s">
        <v>218</v>
      </c>
      <c r="E20" s="4" t="str">
        <f t="shared" si="0"/>
        <v xml:space="preserve">Favoured of …., </v>
      </c>
      <c r="F20" s="6" t="s">
        <v>53</v>
      </c>
      <c r="G20" s="6" t="s">
        <v>53</v>
      </c>
      <c r="H20" s="6" t="s">
        <v>53</v>
      </c>
      <c r="I20" s="6" t="s">
        <v>53</v>
      </c>
      <c r="J20" s="6" t="s">
        <v>53</v>
      </c>
      <c r="K20" s="6" t="s">
        <v>53</v>
      </c>
      <c r="L20" s="6" t="s">
        <v>53</v>
      </c>
      <c r="M20" s="6" t="s">
        <v>53</v>
      </c>
      <c r="N20" s="6" t="s">
        <v>53</v>
      </c>
      <c r="O20" s="6" t="s">
        <v>219</v>
      </c>
      <c r="P20" s="6" t="s">
        <v>53</v>
      </c>
      <c r="Q20" s="6" t="s">
        <v>53</v>
      </c>
      <c r="V20" s="3" t="str">
        <f>IF(HLOOKUP(Roster!$N$28,Reces!$Z$3:$BD$34,18,FALSE)&lt;&gt;"",HLOOKUP(Roster!$N$28,Reces!$Z$3:$BD$34,18,FALSE),"")</f>
        <v>*Scyla Anfingrimm</v>
      </c>
      <c r="AB20" s="9" t="s">
        <v>467</v>
      </c>
      <c r="AC20" s="252" t="s">
        <v>741</v>
      </c>
      <c r="AD20" s="252" t="s">
        <v>741</v>
      </c>
      <c r="AE20" s="9" t="s">
        <v>479</v>
      </c>
      <c r="AF20" s="9" t="s">
        <v>531</v>
      </c>
      <c r="AG20" s="9" t="s">
        <v>660</v>
      </c>
      <c r="AH20" s="9" t="s">
        <v>533</v>
      </c>
      <c r="AI20" s="59" t="s">
        <v>468</v>
      </c>
      <c r="AJ20" s="59" t="s">
        <v>526</v>
      </c>
      <c r="AK20" s="9" t="s">
        <v>533</v>
      </c>
      <c r="AL20" s="9" t="s">
        <v>660</v>
      </c>
      <c r="AM20" s="59" t="s">
        <v>519</v>
      </c>
      <c r="AN20" s="9" t="s">
        <v>479</v>
      </c>
      <c r="AQ20" s="252" t="s">
        <v>741</v>
      </c>
      <c r="AR20" s="9" t="s">
        <v>479</v>
      </c>
      <c r="AS20" s="9" t="s">
        <v>660</v>
      </c>
      <c r="AT20" s="9" t="s">
        <v>480</v>
      </c>
      <c r="AU20" s="9" t="s">
        <v>479</v>
      </c>
      <c r="AV20" s="10"/>
      <c r="AW20" s="10"/>
      <c r="AX20" s="59" t="s">
        <v>526</v>
      </c>
      <c r="AY20" s="7"/>
      <c r="AZ20" s="59" t="s">
        <v>519</v>
      </c>
      <c r="BA20" s="7"/>
      <c r="BB20" s="59" t="s">
        <v>468</v>
      </c>
      <c r="BC20" s="9"/>
      <c r="BD20" s="9" t="s">
        <v>531</v>
      </c>
    </row>
    <row r="21" spans="1:73" x14ac:dyDescent="0.15">
      <c r="A21" s="209" t="s">
        <v>24</v>
      </c>
      <c r="B21" s="19">
        <v>70000</v>
      </c>
      <c r="C21" s="2">
        <f>COUNTIF(TeamT[[#All],[Race]],Razze[[#This Row],[Race]])-1</f>
        <v>3</v>
      </c>
      <c r="D21" s="4" t="s">
        <v>219</v>
      </c>
      <c r="E21" s="4" t="str">
        <f t="shared" si="0"/>
        <v xml:space="preserve">Badlands Brawl, Old World Classic, Low Cost Linemen, </v>
      </c>
      <c r="F21" s="6" t="s">
        <v>219</v>
      </c>
      <c r="G21" s="6" t="s">
        <v>53</v>
      </c>
      <c r="H21" s="6" t="s">
        <v>53</v>
      </c>
      <c r="I21" s="6" t="s">
        <v>53</v>
      </c>
      <c r="J21" s="6" t="s">
        <v>219</v>
      </c>
      <c r="K21" s="6" t="s">
        <v>53</v>
      </c>
      <c r="L21" s="6" t="s">
        <v>53</v>
      </c>
      <c r="M21" s="6" t="s">
        <v>53</v>
      </c>
      <c r="N21" s="6" t="s">
        <v>53</v>
      </c>
      <c r="O21" s="6" t="s">
        <v>53</v>
      </c>
      <c r="P21" s="6" t="s">
        <v>219</v>
      </c>
      <c r="Q21" s="6" t="s">
        <v>53</v>
      </c>
      <c r="V21" s="3" t="str">
        <f>IF(HLOOKUP(Roster!$N$28,Reces!$Z$3:$BD$34,19,FALSE)&lt;&gt;"",HLOOKUP(Roster!$N$28,Reces!$Z$3:$BD$34,19,FALSE),"")</f>
        <v>*Grombrindal, the White Dwarf</v>
      </c>
      <c r="AB21" s="9" t="s">
        <v>479</v>
      </c>
      <c r="AC21" s="9" t="s">
        <v>473</v>
      </c>
      <c r="AD21" s="59" t="s">
        <v>468</v>
      </c>
      <c r="AE21" s="9"/>
      <c r="AF21" s="9" t="s">
        <v>533</v>
      </c>
      <c r="AG21" s="59" t="s">
        <v>519</v>
      </c>
      <c r="AH21" s="9" t="s">
        <v>479</v>
      </c>
      <c r="AI21" s="8" t="s">
        <v>461</v>
      </c>
      <c r="AJ21" s="8" t="s">
        <v>469</v>
      </c>
      <c r="AK21" s="9" t="s">
        <v>479</v>
      </c>
      <c r="AL21" s="59" t="s">
        <v>519</v>
      </c>
      <c r="AM21" s="59" t="s">
        <v>526</v>
      </c>
      <c r="AQ21" s="260" t="s">
        <v>473</v>
      </c>
      <c r="AR21" s="7"/>
      <c r="AS21" s="59" t="s">
        <v>519</v>
      </c>
      <c r="AT21" s="59" t="s">
        <v>471</v>
      </c>
      <c r="AV21" s="10"/>
      <c r="AW21" s="10"/>
      <c r="AX21" s="9" t="s">
        <v>482</v>
      </c>
      <c r="AY21" s="7"/>
      <c r="AZ21" s="59" t="s">
        <v>526</v>
      </c>
      <c r="BA21" s="7"/>
      <c r="BB21" s="8" t="s">
        <v>461</v>
      </c>
      <c r="BC21" s="9"/>
      <c r="BD21" s="9" t="s">
        <v>533</v>
      </c>
      <c r="BJ21" s="65">
        <f>SUM(BJ4:BJ19)</f>
        <v>0</v>
      </c>
      <c r="BK21" s="65">
        <f t="shared" ref="BK21:BT21" si="7">SUM(BK4:BK19)</f>
        <v>0</v>
      </c>
      <c r="BL21" s="65">
        <f t="shared" si="7"/>
        <v>0</v>
      </c>
      <c r="BM21" s="65">
        <f t="shared" si="7"/>
        <v>0</v>
      </c>
      <c r="BN21" s="65">
        <f t="shared" si="7"/>
        <v>0</v>
      </c>
      <c r="BO21" s="65">
        <f t="shared" si="7"/>
        <v>0</v>
      </c>
      <c r="BP21" s="65">
        <f t="shared" si="7"/>
        <v>0</v>
      </c>
      <c r="BQ21" s="65">
        <f t="shared" si="7"/>
        <v>0</v>
      </c>
      <c r="BR21" s="65">
        <f t="shared" si="7"/>
        <v>0</v>
      </c>
      <c r="BS21" s="65">
        <f t="shared" si="7"/>
        <v>0</v>
      </c>
      <c r="BT21" s="65">
        <f t="shared" si="7"/>
        <v>0</v>
      </c>
    </row>
    <row r="22" spans="1:73" x14ac:dyDescent="0.15">
      <c r="A22" s="209" t="s">
        <v>489</v>
      </c>
      <c r="B22" s="19">
        <v>70000</v>
      </c>
      <c r="C22" s="2">
        <f>COUNTIF(TeamT[[#All],[Race]],Razze[[#This Row],[Race]])-1</f>
        <v>11</v>
      </c>
      <c r="D22" s="4" t="s">
        <v>219</v>
      </c>
      <c r="E22" s="4" t="str">
        <f t="shared" si="0"/>
        <v xml:space="preserve">Old World Classic, </v>
      </c>
      <c r="F22" s="6" t="s">
        <v>53</v>
      </c>
      <c r="G22" s="6" t="s">
        <v>53</v>
      </c>
      <c r="H22" s="6" t="s">
        <v>53</v>
      </c>
      <c r="I22" s="6" t="s">
        <v>53</v>
      </c>
      <c r="J22" s="6" t="s">
        <v>219</v>
      </c>
      <c r="K22" s="6" t="s">
        <v>53</v>
      </c>
      <c r="L22" s="6" t="s">
        <v>53</v>
      </c>
      <c r="M22" s="6" t="s">
        <v>53</v>
      </c>
      <c r="N22" s="6" t="s">
        <v>53</v>
      </c>
      <c r="O22" s="6" t="s">
        <v>53</v>
      </c>
      <c r="P22" s="6" t="s">
        <v>53</v>
      </c>
      <c r="Q22" s="6" t="s">
        <v>53</v>
      </c>
      <c r="V22" s="3" t="str">
        <f>IF(HLOOKUP(Roster!$N$28,Reces!$Z$3:$BD$34,20,FALSE)&lt;&gt;"",HLOOKUP(Roster!$N$28,Reces!$Z$3:$BD$34,20,FALSE),"")</f>
        <v>*Hakflem Skuttlespike</v>
      </c>
      <c r="AC22" s="59" t="s">
        <v>468</v>
      </c>
      <c r="AD22" s="252" t="s">
        <v>742</v>
      </c>
      <c r="AE22" s="9"/>
      <c r="AF22" s="9" t="s">
        <v>479</v>
      </c>
      <c r="AG22" s="59" t="s">
        <v>526</v>
      </c>
      <c r="AH22" s="10"/>
      <c r="AI22" s="59" t="s">
        <v>519</v>
      </c>
      <c r="AJ22" s="59" t="s">
        <v>470</v>
      </c>
      <c r="AK22" s="10"/>
      <c r="AL22" s="59" t="s">
        <v>526</v>
      </c>
      <c r="AM22" s="8" t="s">
        <v>469</v>
      </c>
      <c r="AQ22" s="252" t="s">
        <v>468</v>
      </c>
      <c r="AR22" s="7"/>
      <c r="AS22" s="59" t="s">
        <v>526</v>
      </c>
      <c r="AT22" s="59" t="s">
        <v>529</v>
      </c>
      <c r="AU22" s="7"/>
      <c r="AV22" s="213"/>
      <c r="AW22" s="213"/>
      <c r="AX22" s="9" t="s">
        <v>479</v>
      </c>
      <c r="AY22" s="7"/>
      <c r="AZ22" s="9" t="s">
        <v>482</v>
      </c>
      <c r="BA22" s="7"/>
      <c r="BB22" s="59" t="s">
        <v>519</v>
      </c>
      <c r="BC22" s="10"/>
      <c r="BD22" s="9" t="s">
        <v>479</v>
      </c>
      <c r="BJ22" s="3">
        <v>1</v>
      </c>
      <c r="BL22" s="3">
        <v>3</v>
      </c>
      <c r="BN22" s="3">
        <v>1</v>
      </c>
      <c r="BP22" s="3">
        <v>1</v>
      </c>
      <c r="BS22" s="3">
        <v>2</v>
      </c>
    </row>
    <row r="23" spans="1:73" x14ac:dyDescent="0.15">
      <c r="A23" s="209" t="s">
        <v>25</v>
      </c>
      <c r="B23" s="19">
        <v>60000</v>
      </c>
      <c r="C23" s="2">
        <f>COUNTIF(TeamT[[#All],[Race]],Razze[[#This Row],[Race]])-1</f>
        <v>6</v>
      </c>
      <c r="D23" s="4" t="s">
        <v>219</v>
      </c>
      <c r="E23" s="4" t="str">
        <f t="shared" si="0"/>
        <v xml:space="preserve">Badlands Brawl, </v>
      </c>
      <c r="F23" s="6" t="s">
        <v>219</v>
      </c>
      <c r="G23" s="6" t="s">
        <v>53</v>
      </c>
      <c r="H23" s="6" t="s">
        <v>53</v>
      </c>
      <c r="I23" s="6" t="s">
        <v>53</v>
      </c>
      <c r="J23" s="6" t="s">
        <v>53</v>
      </c>
      <c r="K23" s="6" t="s">
        <v>53</v>
      </c>
      <c r="L23" s="6" t="s">
        <v>53</v>
      </c>
      <c r="M23" s="6" t="s">
        <v>53</v>
      </c>
      <c r="N23" s="6" t="s">
        <v>53</v>
      </c>
      <c r="O23" s="6" t="s">
        <v>53</v>
      </c>
      <c r="P23" s="6" t="s">
        <v>53</v>
      </c>
      <c r="Q23" s="6" t="s">
        <v>53</v>
      </c>
      <c r="V23" s="3" t="str">
        <f>IF(HLOOKUP(Roster!$N$28,Reces!$Z$3:$BD$34,21,FALSE)&lt;&gt;"",HLOOKUP(Roster!$N$28,Reces!$Z$3:$BD$34,21,FALSE),"")</f>
        <v>*Karla von Kill</v>
      </c>
      <c r="AC23" s="8" t="s">
        <v>461</v>
      </c>
      <c r="AD23" s="59" t="s">
        <v>519</v>
      </c>
      <c r="AE23" s="10"/>
      <c r="AG23" s="8" t="s">
        <v>469</v>
      </c>
      <c r="AH23" s="10"/>
      <c r="AI23" s="59" t="s">
        <v>526</v>
      </c>
      <c r="AJ23" s="9" t="s">
        <v>479</v>
      </c>
      <c r="AK23" s="10"/>
      <c r="AL23" s="8" t="s">
        <v>469</v>
      </c>
      <c r="AM23" s="59" t="s">
        <v>470</v>
      </c>
      <c r="AO23" s="7"/>
      <c r="AQ23" s="252" t="s">
        <v>529</v>
      </c>
      <c r="AR23" s="7"/>
      <c r="AS23" s="8" t="s">
        <v>469</v>
      </c>
      <c r="AT23" s="9" t="s">
        <v>473</v>
      </c>
      <c r="AU23" s="7"/>
      <c r="AV23" s="213"/>
      <c r="AW23" s="213"/>
      <c r="AY23" s="7"/>
      <c r="AZ23" s="9" t="s">
        <v>479</v>
      </c>
      <c r="BA23" s="60"/>
      <c r="BB23" s="59" t="s">
        <v>526</v>
      </c>
      <c r="BC23" s="10"/>
      <c r="BD23" s="10"/>
    </row>
    <row r="24" spans="1:73" x14ac:dyDescent="0.15">
      <c r="A24" s="209" t="s">
        <v>490</v>
      </c>
      <c r="B24" s="19">
        <v>70000</v>
      </c>
      <c r="C24" s="2">
        <f>COUNTIF(TeamT[[#All],[Race]],Razze[[#This Row],[Race]])-1</f>
        <v>5</v>
      </c>
      <c r="D24" s="4" t="s">
        <v>218</v>
      </c>
      <c r="E24" s="4" t="str">
        <f t="shared" si="0"/>
        <v>Sylvanian Spotlight, Masters of Undeath</v>
      </c>
      <c r="F24" s="6" t="s">
        <v>53</v>
      </c>
      <c r="G24" s="6" t="s">
        <v>53</v>
      </c>
      <c r="H24" s="6" t="s">
        <v>53</v>
      </c>
      <c r="I24" s="6" t="s">
        <v>53</v>
      </c>
      <c r="J24" s="6" t="s">
        <v>53</v>
      </c>
      <c r="K24" s="6" t="s">
        <v>219</v>
      </c>
      <c r="L24" s="6" t="s">
        <v>53</v>
      </c>
      <c r="M24" s="6" t="s">
        <v>53</v>
      </c>
      <c r="N24" s="6" t="s">
        <v>53</v>
      </c>
      <c r="O24" s="6" t="s">
        <v>53</v>
      </c>
      <c r="P24" s="6" t="s">
        <v>53</v>
      </c>
      <c r="Q24" s="6" t="s">
        <v>219</v>
      </c>
      <c r="V24" s="3" t="str">
        <f>IF(HLOOKUP(Roster!$N$28,Reces!$Z$3:$BD$34,22,FALSE)&lt;&gt;"",HLOOKUP(Roster!$N$28,Reces!$Z$3:$BD$34,22,FALSE),"")</f>
        <v>*Mighty Zug</v>
      </c>
      <c r="AB24" s="10"/>
      <c r="AC24" s="252" t="s">
        <v>742</v>
      </c>
      <c r="AD24" s="59" t="s">
        <v>526</v>
      </c>
      <c r="AE24" s="10"/>
      <c r="AG24" s="59" t="s">
        <v>470</v>
      </c>
      <c r="AH24" s="10"/>
      <c r="AI24" s="9" t="s">
        <v>482</v>
      </c>
      <c r="AK24" s="10"/>
      <c r="AL24" s="59" t="s">
        <v>470</v>
      </c>
      <c r="AM24" s="9" t="s">
        <v>479</v>
      </c>
      <c r="AO24" s="7"/>
      <c r="AP24" s="7"/>
      <c r="AQ24" s="260" t="s">
        <v>478</v>
      </c>
      <c r="AR24" s="7"/>
      <c r="AS24" s="59" t="s">
        <v>470</v>
      </c>
      <c r="AT24" s="9" t="s">
        <v>478</v>
      </c>
      <c r="AU24" s="7"/>
      <c r="AV24" s="213"/>
      <c r="AW24" s="213"/>
      <c r="AY24" s="7"/>
      <c r="BA24" s="7"/>
      <c r="BB24" s="9" t="s">
        <v>482</v>
      </c>
      <c r="BC24" s="10"/>
      <c r="BD24" s="10"/>
    </row>
    <row r="25" spans="1:73" x14ac:dyDescent="0.15">
      <c r="A25" s="4" t="s">
        <v>752</v>
      </c>
      <c r="B25" s="19">
        <v>60000</v>
      </c>
      <c r="C25" s="92">
        <f>COUNTIF(TeamT[[#All],[Race]],Razze[[#This Row],[Race]])-1</f>
        <v>5</v>
      </c>
      <c r="D25" s="4" t="s">
        <v>219</v>
      </c>
      <c r="E25" s="93" t="str">
        <f t="shared" ref="E25:E32" si="8">_xlfn.CONCAT(IF($F25="Y",$F$1,""),IF($F25&lt;&gt;"-",", ",""),IF($G25="Y",$G$1,""),IF($G25&lt;&gt;"-",", ",""),IF($H25="Y",$H$1,""),IF($H25&lt;&gt;"-",", ",""),IF($I25="Y",$I$1,""),IF($I25&lt;&gt;"-",", ",""),IF($J25="Y",$J$1,""),IF($J25&lt;&gt;"-",", ",""),IF($K25="Y",$K$1,""),IF($K25&lt;&gt;"-",", ",""),IF($L25="Y",$L$1,""),IF($L25&lt;&gt;"-",", ",""),IF($M25="Y",$M$1,""),IF($M25&lt;&gt;"-",", ",""),IF($N25="Y",$N$1,""),IF($N25&lt;&gt;"-",", ",""),IF($O25="Y",$O$1,""),IF($O25&lt;&gt;"-",", ",""),IF($P25="Y",$P$1,""),IF($P25&lt;&gt;"-",", ",""),IF($Q25="Y",$Q$1,""))</f>
        <v xml:space="preserve">Lustrian Superleague, </v>
      </c>
      <c r="F25" s="6" t="s">
        <v>53</v>
      </c>
      <c r="G25" s="6" t="s">
        <v>53</v>
      </c>
      <c r="H25" s="6" t="s">
        <v>53</v>
      </c>
      <c r="I25" s="6" t="s">
        <v>219</v>
      </c>
      <c r="J25" s="6" t="s">
        <v>53</v>
      </c>
      <c r="K25" s="6" t="s">
        <v>53</v>
      </c>
      <c r="L25" s="6" t="s">
        <v>53</v>
      </c>
      <c r="M25" s="6" t="s">
        <v>53</v>
      </c>
      <c r="N25" s="6" t="s">
        <v>53</v>
      </c>
      <c r="O25" s="6" t="s">
        <v>53</v>
      </c>
      <c r="P25" s="6" t="s">
        <v>53</v>
      </c>
      <c r="Q25" s="6" t="s">
        <v>53</v>
      </c>
      <c r="V25" s="3" t="str">
        <f>IF(HLOOKUP(Roster!$N$28,Reces!$Z$3:$BD$34,23,FALSE)&lt;&gt;"",HLOOKUP(Roster!$N$28,Reces!$Z$3:$BD$34,23,FALSE),"")</f>
        <v>*Grashnak Blackhoof</v>
      </c>
      <c r="AC25" s="59" t="s">
        <v>519</v>
      </c>
      <c r="AD25" s="9" t="s">
        <v>467</v>
      </c>
      <c r="AE25" s="10"/>
      <c r="AF25" s="10"/>
      <c r="AG25" s="9" t="s">
        <v>479</v>
      </c>
      <c r="AH25" s="10"/>
      <c r="AI25" s="9" t="s">
        <v>479</v>
      </c>
      <c r="AK25" s="10"/>
      <c r="AL25" s="9" t="s">
        <v>479</v>
      </c>
      <c r="AM25" s="7"/>
      <c r="AN25" s="10"/>
      <c r="AO25" s="7"/>
      <c r="AP25" s="7"/>
      <c r="AQ25" s="252" t="s">
        <v>742</v>
      </c>
      <c r="AR25" s="7"/>
      <c r="AS25" s="9" t="s">
        <v>482</v>
      </c>
      <c r="AT25" s="9" t="s">
        <v>660</v>
      </c>
      <c r="AU25" s="7"/>
      <c r="AV25" s="10"/>
      <c r="AW25" s="10"/>
      <c r="AY25" s="7"/>
      <c r="AZ25" s="7"/>
      <c r="BA25" s="7"/>
      <c r="BB25" s="9" t="s">
        <v>479</v>
      </c>
      <c r="BC25" s="10"/>
      <c r="BD25" s="10"/>
    </row>
    <row r="26" spans="1:73" x14ac:dyDescent="0.15">
      <c r="A26" s="209" t="s">
        <v>26</v>
      </c>
      <c r="B26" s="19">
        <v>50000</v>
      </c>
      <c r="C26" s="92">
        <f>COUNTIF(TeamT[[#All],[Race]],Razze[[#This Row],[Race]])-1</f>
        <v>5</v>
      </c>
      <c r="D26" s="4" t="s">
        <v>219</v>
      </c>
      <c r="E26" s="93" t="str">
        <f t="shared" si="8"/>
        <v xml:space="preserve">Underworld Challenge, </v>
      </c>
      <c r="F26" s="6" t="s">
        <v>53</v>
      </c>
      <c r="G26" s="6" t="s">
        <v>53</v>
      </c>
      <c r="H26" s="6" t="s">
        <v>53</v>
      </c>
      <c r="I26" s="6" t="s">
        <v>53</v>
      </c>
      <c r="J26" s="6" t="s">
        <v>53</v>
      </c>
      <c r="K26" s="6" t="s">
        <v>53</v>
      </c>
      <c r="L26" s="6" t="s">
        <v>219</v>
      </c>
      <c r="M26" s="6" t="s">
        <v>53</v>
      </c>
      <c r="N26" s="6" t="s">
        <v>53</v>
      </c>
      <c r="O26" s="6" t="s">
        <v>53</v>
      </c>
      <c r="P26" s="6" t="s">
        <v>53</v>
      </c>
      <c r="Q26" s="6" t="s">
        <v>53</v>
      </c>
      <c r="V26" s="3" t="str">
        <f>IF(HLOOKUP(Roster!$N$28,Reces!$Z$3:$BD$34,24,FALSE)&lt;&gt;"",HLOOKUP(Roster!$N$28,Reces!$Z$3:$BD$34,24,FALSE),"")</f>
        <v>*Ivar Eriksson</v>
      </c>
      <c r="AB26" s="10"/>
      <c r="AC26" s="59" t="s">
        <v>526</v>
      </c>
      <c r="AD26" s="9" t="s">
        <v>479</v>
      </c>
      <c r="AE26" s="7"/>
      <c r="AF26" s="10"/>
      <c r="AH26" s="10"/>
      <c r="AK26" s="10"/>
      <c r="AM26" s="7"/>
      <c r="AN26" s="10"/>
      <c r="AO26" s="7"/>
      <c r="AP26" s="7"/>
      <c r="AQ26" s="260" t="s">
        <v>765</v>
      </c>
      <c r="AR26" s="7"/>
      <c r="AS26" s="9" t="s">
        <v>479</v>
      </c>
      <c r="AT26" s="59" t="s">
        <v>519</v>
      </c>
      <c r="AU26" s="7"/>
      <c r="AV26" s="10"/>
      <c r="AW26" s="10"/>
      <c r="AY26" s="7"/>
      <c r="AZ26" s="7"/>
      <c r="BA26" s="7"/>
      <c r="BB26" s="10"/>
      <c r="BC26" s="10"/>
      <c r="BD26" s="10"/>
    </row>
    <row r="27" spans="1:73" x14ac:dyDescent="0.15">
      <c r="A27" s="209" t="s">
        <v>655</v>
      </c>
      <c r="B27" s="19">
        <v>50000</v>
      </c>
      <c r="C27" s="92">
        <f>COUNTIF(TeamT[[#All],[Race]],Razze[[#This Row],[Race]])-1</f>
        <v>4</v>
      </c>
      <c r="D27" s="4" t="s">
        <v>219</v>
      </c>
      <c r="E27" s="93" t="str">
        <f t="shared" si="8"/>
        <v xml:space="preserve">Lustrian Superleague, </v>
      </c>
      <c r="F27" s="6" t="s">
        <v>53</v>
      </c>
      <c r="G27" s="6" t="s">
        <v>53</v>
      </c>
      <c r="H27" s="6" t="s">
        <v>53</v>
      </c>
      <c r="I27" s="6" t="s">
        <v>219</v>
      </c>
      <c r="J27" s="6" t="s">
        <v>53</v>
      </c>
      <c r="K27" s="6" t="s">
        <v>53</v>
      </c>
      <c r="L27" s="6" t="s">
        <v>53</v>
      </c>
      <c r="M27" s="6" t="s">
        <v>53</v>
      </c>
      <c r="N27" s="6" t="s">
        <v>53</v>
      </c>
      <c r="O27" s="6" t="s">
        <v>53</v>
      </c>
      <c r="P27" s="6" t="s">
        <v>53</v>
      </c>
      <c r="Q27" s="6" t="s">
        <v>53</v>
      </c>
      <c r="V27" s="3" t="str">
        <f>IF(HLOOKUP(Roster!$N$28,Reces!$Z$3:$BD$34,25,FALSE)&lt;&gt;"",HLOOKUP(Roster!$N$28,Reces!$Z$3:$BD$34,25,FALSE),"")</f>
        <v>*Frank 'n' Stein</v>
      </c>
      <c r="AC27" s="9" t="s">
        <v>467</v>
      </c>
      <c r="AQ27" s="260" t="s">
        <v>660</v>
      </c>
      <c r="AT27" s="59" t="s">
        <v>526</v>
      </c>
    </row>
    <row r="28" spans="1:73" x14ac:dyDescent="0.15">
      <c r="A28" s="209" t="s">
        <v>27</v>
      </c>
      <c r="B28" s="19">
        <v>60000</v>
      </c>
      <c r="C28" s="92">
        <f>COUNTIF(TeamT[[#All],[Race]],Razze[[#This Row],[Race]])-1</f>
        <v>6</v>
      </c>
      <c r="D28" s="4" t="s">
        <v>219</v>
      </c>
      <c r="E28" s="93" t="str">
        <f t="shared" si="8"/>
        <v xml:space="preserve">Underworld Challenge, Bribery and Corruption, Low Cost Linemen, </v>
      </c>
      <c r="F28" s="6" t="s">
        <v>53</v>
      </c>
      <c r="G28" s="6" t="s">
        <v>53</v>
      </c>
      <c r="H28" s="6" t="s">
        <v>53</v>
      </c>
      <c r="I28" s="6" t="s">
        <v>53</v>
      </c>
      <c r="J28" s="6" t="s">
        <v>53</v>
      </c>
      <c r="K28" s="6" t="s">
        <v>53</v>
      </c>
      <c r="L28" s="6" t="s">
        <v>219</v>
      </c>
      <c r="M28" s="6" t="s">
        <v>53</v>
      </c>
      <c r="N28" s="6" t="s">
        <v>219</v>
      </c>
      <c r="O28" s="6" t="s">
        <v>53</v>
      </c>
      <c r="P28" s="6" t="s">
        <v>219</v>
      </c>
      <c r="Q28" s="6" t="s">
        <v>53</v>
      </c>
      <c r="V28" s="3" t="str">
        <f>IF(HLOOKUP(Roster!$N$28,Reces!$Z$3:$BD$34,26,FALSE)&lt;&gt;"",HLOOKUP(Roster!$N$28,Reces!$Z$3:$BD$34,26,FALSE),"")</f>
        <v>*Grak °°</v>
      </c>
      <c r="AC28" s="9" t="s">
        <v>482</v>
      </c>
      <c r="AQ28" s="252" t="s">
        <v>519</v>
      </c>
      <c r="AT28" s="8" t="s">
        <v>469</v>
      </c>
    </row>
    <row r="29" spans="1:73" x14ac:dyDescent="0.15">
      <c r="A29" s="209" t="s">
        <v>608</v>
      </c>
      <c r="B29" s="19">
        <v>70000</v>
      </c>
      <c r="C29" s="92">
        <f>COUNTIF(TeamT[[#All],[Race]],Razze[[#This Row],[Race]])-1</f>
        <v>4</v>
      </c>
      <c r="D29" s="4" t="s">
        <v>593</v>
      </c>
      <c r="E29" s="93" t="str">
        <f t="shared" si="8"/>
        <v xml:space="preserve">Sylvanian Spotlight, </v>
      </c>
      <c r="F29" s="6" t="s">
        <v>53</v>
      </c>
      <c r="G29" s="6" t="s">
        <v>53</v>
      </c>
      <c r="H29" s="6" t="s">
        <v>53</v>
      </c>
      <c r="I29" s="6" t="s">
        <v>53</v>
      </c>
      <c r="J29" s="6" t="s">
        <v>53</v>
      </c>
      <c r="K29" s="6" t="s">
        <v>219</v>
      </c>
      <c r="L29" s="6" t="s">
        <v>53</v>
      </c>
      <c r="M29" s="6" t="s">
        <v>53</v>
      </c>
      <c r="N29" s="6" t="s">
        <v>53</v>
      </c>
      <c r="O29" s="6" t="s">
        <v>53</v>
      </c>
      <c r="P29" s="6" t="s">
        <v>53</v>
      </c>
      <c r="Q29" s="6" t="s">
        <v>53</v>
      </c>
      <c r="V29" s="3" t="str">
        <f>IF(HLOOKUP(Roster!$N$28,Reces!$Z$3:$BD$34,27,FALSE)&lt;&gt;"",HLOOKUP(Roster!$N$28,Reces!$Z$3:$BD$34,27,FALSE),"")</f>
        <v>*Crumbleberry °°</v>
      </c>
      <c r="AC29" s="9" t="s">
        <v>528</v>
      </c>
      <c r="AQ29" s="252" t="s">
        <v>526</v>
      </c>
      <c r="AT29" s="59" t="s">
        <v>470</v>
      </c>
    </row>
    <row r="30" spans="1:73" x14ac:dyDescent="0.15">
      <c r="A30" s="209" t="s">
        <v>537</v>
      </c>
      <c r="B30" s="19">
        <v>70000</v>
      </c>
      <c r="C30" s="92">
        <f>COUNTIF(TeamT[[#All],[Race]],Razze[[#This Row],[Race]])-1</f>
        <v>8</v>
      </c>
      <c r="D30" s="4" t="s">
        <v>219</v>
      </c>
      <c r="E30" s="93" t="str">
        <f t="shared" si="8"/>
        <v xml:space="preserve">Underworld Challenge, Bribery and Corruption, </v>
      </c>
      <c r="F30" s="6" t="s">
        <v>53</v>
      </c>
      <c r="G30" s="6" t="s">
        <v>53</v>
      </c>
      <c r="H30" s="6" t="s">
        <v>53</v>
      </c>
      <c r="I30" s="6" t="s">
        <v>53</v>
      </c>
      <c r="J30" s="6" t="s">
        <v>53</v>
      </c>
      <c r="K30" s="6" t="s">
        <v>53</v>
      </c>
      <c r="L30" s="6" t="s">
        <v>219</v>
      </c>
      <c r="M30" s="6" t="s">
        <v>53</v>
      </c>
      <c r="N30" s="6" t="s">
        <v>219</v>
      </c>
      <c r="O30" s="6" t="s">
        <v>53</v>
      </c>
      <c r="P30" s="6" t="s">
        <v>53</v>
      </c>
      <c r="Q30" s="6" t="s">
        <v>53</v>
      </c>
      <c r="V30" s="3" t="str">
        <f>IF(HLOOKUP(Roster!$N$28,Reces!$Z$3:$BD$34,28,FALSE)&lt;&gt;"",HLOOKUP(Roster!$N$28,Reces!$Z$3:$BD$34,28,FALSE),"")</f>
        <v>*Skrorg Snowpelt</v>
      </c>
      <c r="AQ30" s="252" t="s">
        <v>766</v>
      </c>
      <c r="AT30" s="9" t="s">
        <v>479</v>
      </c>
    </row>
    <row r="31" spans="1:73" x14ac:dyDescent="0.15">
      <c r="A31" s="209" t="s">
        <v>592</v>
      </c>
      <c r="B31" s="19">
        <v>70000</v>
      </c>
      <c r="C31" s="92">
        <f>COUNTIF(TeamT[[#All],[Race]],Razze[[#This Row],[Race]])-1</f>
        <v>2</v>
      </c>
      <c r="D31" s="4" t="s">
        <v>219</v>
      </c>
      <c r="E31" s="93" t="str">
        <f t="shared" si="8"/>
        <v xml:space="preserve">Sylvanian Spotlight, </v>
      </c>
      <c r="F31" s="6" t="s">
        <v>53</v>
      </c>
      <c r="G31" s="6" t="s">
        <v>53</v>
      </c>
      <c r="H31" s="6" t="s">
        <v>53</v>
      </c>
      <c r="I31" s="6" t="s">
        <v>53</v>
      </c>
      <c r="J31" s="6" t="s">
        <v>53</v>
      </c>
      <c r="K31" s="6" t="s">
        <v>219</v>
      </c>
      <c r="L31" s="6" t="s">
        <v>53</v>
      </c>
      <c r="M31" s="6" t="s">
        <v>53</v>
      </c>
      <c r="N31" s="6" t="s">
        <v>53</v>
      </c>
      <c r="O31" s="6" t="s">
        <v>53</v>
      </c>
      <c r="P31" s="6" t="s">
        <v>53</v>
      </c>
      <c r="Q31" s="6" t="s">
        <v>53</v>
      </c>
      <c r="V31" s="3" t="str">
        <f>IF(HLOOKUP(Roster!$N$28,Reces!$Z$3:$BD$34,29,FALSE)&lt;&gt;"",HLOOKUP(Roster!$N$28,Reces!$Z$3:$BD$34,29,FALSE),"")</f>
        <v>*Lord Borak the Despoiler</v>
      </c>
      <c r="AQ31" s="9" t="s">
        <v>467</v>
      </c>
    </row>
    <row r="32" spans="1:73" x14ac:dyDescent="0.15">
      <c r="A32" s="209" t="s">
        <v>491</v>
      </c>
      <c r="B32" s="19">
        <v>50000</v>
      </c>
      <c r="C32" s="92">
        <f>COUNTIF(TeamT[[#All],[Race]],Razze[[#This Row],[Race]])-1</f>
        <v>5</v>
      </c>
      <c r="D32" s="4" t="s">
        <v>219</v>
      </c>
      <c r="E32" s="93" t="str">
        <f t="shared" si="8"/>
        <v xml:space="preserve">Elven Kingdoms League, </v>
      </c>
      <c r="F32" s="6" t="s">
        <v>53</v>
      </c>
      <c r="G32" s="6" t="s">
        <v>219</v>
      </c>
      <c r="H32" s="6" t="s">
        <v>53</v>
      </c>
      <c r="I32" s="6" t="s">
        <v>53</v>
      </c>
      <c r="J32" s="6" t="s">
        <v>53</v>
      </c>
      <c r="K32" s="6" t="s">
        <v>53</v>
      </c>
      <c r="L32" s="6" t="s">
        <v>53</v>
      </c>
      <c r="M32" s="6" t="s">
        <v>53</v>
      </c>
      <c r="N32" s="6" t="s">
        <v>53</v>
      </c>
      <c r="O32" s="6" t="s">
        <v>53</v>
      </c>
      <c r="P32" s="6" t="s">
        <v>53</v>
      </c>
      <c r="Q32" s="6" t="s">
        <v>53</v>
      </c>
      <c r="V32" s="3" t="str">
        <f>IF(HLOOKUP(Roster!$N$28,Reces!$Z$3:$BD$34,30,FALSE)&lt;&gt;"",HLOOKUP(Roster!$N$28,Reces!$Z$3:$BD$34,30,FALSE),"")</f>
        <v>*Deeproot Strongbranch</v>
      </c>
      <c r="AL32" s="9"/>
      <c r="AQ32" s="261" t="s">
        <v>469</v>
      </c>
    </row>
    <row r="33" spans="3:43" x14ac:dyDescent="0.15">
      <c r="C33" s="92"/>
      <c r="E33" s="257"/>
      <c r="F33" s="6"/>
      <c r="G33" s="6"/>
      <c r="H33" s="6"/>
      <c r="I33" s="6"/>
      <c r="J33" s="6"/>
      <c r="K33" s="6"/>
      <c r="L33" s="6"/>
      <c r="M33" s="6"/>
      <c r="N33" s="6"/>
      <c r="O33" s="6"/>
      <c r="P33" s="6"/>
      <c r="Q33" s="6"/>
      <c r="V33" s="3" t="str">
        <f>IF(HLOOKUP(Roster!$N$28,Reces!$Z$3:$BD$34,31,FALSE)&lt;&gt;"",HLOOKUP(Roster!$N$28,Reces!$Z$3:$BD$34,31,FALSE),"")</f>
        <v>*Griff Oberwald</v>
      </c>
      <c r="AQ33" s="252" t="s">
        <v>470</v>
      </c>
    </row>
    <row r="34" spans="3:43" x14ac:dyDescent="0.15">
      <c r="V34" s="3" t="str">
        <f>IF(HLOOKUP(Roster!$N$28,Reces!$Z$3:$BD$34,32,FALSE)&lt;&gt;"",HLOOKUP(Roster!$N$28,Reces!$Z$3:$BD$34,32,FALSE),"")</f>
        <v>*Morg 'n' Thorg</v>
      </c>
      <c r="AQ34" s="260" t="s">
        <v>479</v>
      </c>
    </row>
  </sheetData>
  <sheetProtection algorithmName="SHA-512" hashValue="RZGnJxmcVY+abFlEGwBqlZvVhHfNXq3g0+GNCplPXu402Gp2QGqK/xzzqZiZlHpzlt2ewyOTj747YZb9ACH/Sg==" saltValue="QShyv2fEzimtKmsZgyASOg==" spinCount="100000" sheet="1" objects="1" scenarios="1"/>
  <sortState xmlns:xlrd2="http://schemas.microsoft.com/office/spreadsheetml/2017/richdata2" ref="AB12:AB21">
    <sortCondition ref="AB11:AB21"/>
  </sortState>
  <phoneticPr fontId="6"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E7BB6-5BCC-430B-A14C-F83A16CE9C14}">
  <dimension ref="A1:M71"/>
  <sheetViews>
    <sheetView topLeftCell="A30" workbookViewId="0">
      <selection activeCell="B55" sqref="B55"/>
    </sheetView>
  </sheetViews>
  <sheetFormatPr defaultColWidth="0" defaultRowHeight="13.5" x14ac:dyDescent="0.15"/>
  <cols>
    <col min="1" max="1" width="8.703125" style="157" customWidth="1"/>
    <col min="2" max="2" width="18.6328125" style="157" bestFit="1" customWidth="1"/>
    <col min="3" max="13" width="8.703125" style="157" customWidth="1"/>
    <col min="14" max="15" width="8.703125" style="157" hidden="1" customWidth="1"/>
    <col min="16" max="16384" width="8.703125" style="157" hidden="1"/>
  </cols>
  <sheetData>
    <row r="1" spans="2:12" ht="14.25" thickBot="1" x14ac:dyDescent="0.2"/>
    <row r="2" spans="2:12" ht="34.9" customHeight="1" x14ac:dyDescent="0.15">
      <c r="B2" s="362" t="s">
        <v>624</v>
      </c>
      <c r="C2" s="363"/>
      <c r="D2" s="363"/>
      <c r="E2" s="363"/>
      <c r="F2" s="363"/>
      <c r="G2" s="363"/>
      <c r="H2" s="363"/>
      <c r="I2" s="363"/>
      <c r="J2" s="363"/>
      <c r="K2" s="363"/>
      <c r="L2" s="364"/>
    </row>
    <row r="3" spans="2:12" ht="4.9000000000000004" customHeight="1" thickBot="1" x14ac:dyDescent="0.2">
      <c r="B3" s="365"/>
      <c r="C3" s="366"/>
      <c r="D3" s="366"/>
      <c r="E3" s="366"/>
      <c r="F3" s="366"/>
      <c r="G3" s="366"/>
      <c r="H3" s="366"/>
      <c r="I3" s="366"/>
      <c r="J3" s="366"/>
      <c r="K3" s="366"/>
      <c r="L3" s="367"/>
    </row>
    <row r="4" spans="2:12" x14ac:dyDescent="0.15">
      <c r="B4" s="175"/>
      <c r="C4" s="176"/>
      <c r="D4" s="176"/>
      <c r="E4" s="176"/>
      <c r="F4" s="176"/>
      <c r="G4" s="176"/>
      <c r="H4" s="176"/>
      <c r="I4" s="176"/>
      <c r="J4" s="176"/>
      <c r="K4" s="176"/>
      <c r="L4" s="177"/>
    </row>
    <row r="5" spans="2:12" x14ac:dyDescent="0.15">
      <c r="B5" s="158" t="s">
        <v>625</v>
      </c>
      <c r="C5" s="159"/>
      <c r="D5" s="159"/>
      <c r="E5" s="159"/>
      <c r="F5" s="159"/>
      <c r="G5" s="159"/>
      <c r="H5" s="159"/>
      <c r="I5" s="159"/>
      <c r="J5" s="159"/>
      <c r="K5" s="159"/>
      <c r="L5" s="160"/>
    </row>
    <row r="6" spans="2:12" ht="6" customHeight="1" x14ac:dyDescent="0.15">
      <c r="B6" s="158"/>
      <c r="C6" s="159"/>
      <c r="D6" s="159"/>
      <c r="E6" s="159"/>
      <c r="F6" s="159"/>
      <c r="G6" s="159"/>
      <c r="H6" s="159"/>
      <c r="I6" s="159"/>
      <c r="J6" s="159"/>
      <c r="K6" s="159"/>
      <c r="L6" s="160"/>
    </row>
    <row r="7" spans="2:12" ht="13.9" customHeight="1" x14ac:dyDescent="0.15">
      <c r="B7" s="368" t="s">
        <v>627</v>
      </c>
      <c r="C7" s="369"/>
      <c r="D7" s="369"/>
      <c r="E7" s="369"/>
      <c r="F7" s="369"/>
      <c r="G7" s="369"/>
      <c r="H7" s="369"/>
      <c r="I7" s="161"/>
      <c r="J7" s="161"/>
      <c r="K7" s="161"/>
      <c r="L7" s="162"/>
    </row>
    <row r="8" spans="2:12" x14ac:dyDescent="0.15">
      <c r="B8" s="368"/>
      <c r="C8" s="369"/>
      <c r="D8" s="369"/>
      <c r="E8" s="369"/>
      <c r="F8" s="369"/>
      <c r="G8" s="369"/>
      <c r="H8" s="369"/>
      <c r="I8" s="161"/>
      <c r="J8" s="161"/>
      <c r="K8" s="161"/>
      <c r="L8" s="162"/>
    </row>
    <row r="9" spans="2:12" ht="6" customHeight="1" x14ac:dyDescent="0.15">
      <c r="B9" s="158"/>
      <c r="C9" s="159"/>
      <c r="D9" s="159"/>
      <c r="E9" s="159"/>
      <c r="F9" s="159"/>
      <c r="G9" s="159"/>
      <c r="H9" s="159"/>
      <c r="I9" s="159"/>
      <c r="J9" s="159"/>
      <c r="K9" s="159"/>
      <c r="L9" s="160"/>
    </row>
    <row r="10" spans="2:12" x14ac:dyDescent="0.15">
      <c r="B10" s="158" t="s">
        <v>626</v>
      </c>
      <c r="C10" s="159"/>
      <c r="D10" s="159"/>
      <c r="E10" s="159"/>
      <c r="F10" s="159"/>
      <c r="G10" s="159"/>
      <c r="H10" s="159"/>
      <c r="I10" s="159"/>
      <c r="J10" s="159"/>
      <c r="K10" s="159"/>
      <c r="L10" s="160"/>
    </row>
    <row r="11" spans="2:12" ht="6" customHeight="1" x14ac:dyDescent="0.15">
      <c r="B11" s="158"/>
      <c r="C11" s="159"/>
      <c r="D11" s="159"/>
      <c r="E11" s="159"/>
      <c r="F11" s="159"/>
      <c r="G11" s="159"/>
      <c r="H11" s="159"/>
      <c r="I11" s="159"/>
      <c r="J11" s="159"/>
      <c r="K11" s="159"/>
      <c r="L11" s="160"/>
    </row>
    <row r="12" spans="2:12" x14ac:dyDescent="0.15">
      <c r="B12" s="368" t="s">
        <v>630</v>
      </c>
      <c r="C12" s="369"/>
      <c r="D12" s="369"/>
      <c r="E12" s="369"/>
      <c r="F12" s="369"/>
      <c r="G12" s="369"/>
      <c r="H12" s="369"/>
      <c r="I12" s="159"/>
      <c r="J12" s="159"/>
      <c r="K12" s="159"/>
      <c r="L12" s="160"/>
    </row>
    <row r="13" spans="2:12" x14ac:dyDescent="0.15">
      <c r="B13" s="368"/>
      <c r="C13" s="369"/>
      <c r="D13" s="369"/>
      <c r="E13" s="369"/>
      <c r="F13" s="369"/>
      <c r="G13" s="369"/>
      <c r="H13" s="369"/>
      <c r="I13" s="159"/>
      <c r="J13" s="159"/>
      <c r="K13" s="159"/>
      <c r="L13" s="160"/>
    </row>
    <row r="14" spans="2:12" ht="6" customHeight="1" x14ac:dyDescent="0.15">
      <c r="B14" s="158"/>
      <c r="C14" s="159"/>
      <c r="D14" s="159"/>
      <c r="E14" s="159"/>
      <c r="F14" s="159"/>
      <c r="G14" s="159"/>
      <c r="H14" s="159"/>
      <c r="I14" s="159"/>
      <c r="J14" s="159"/>
      <c r="K14" s="159"/>
      <c r="L14" s="160"/>
    </row>
    <row r="15" spans="2:12" x14ac:dyDescent="0.15">
      <c r="B15" s="158" t="s">
        <v>628</v>
      </c>
      <c r="C15" s="159"/>
      <c r="D15" s="159"/>
      <c r="E15" s="159"/>
      <c r="F15" s="159"/>
      <c r="G15" s="159"/>
      <c r="H15" s="159"/>
      <c r="I15" s="159"/>
      <c r="J15" s="159"/>
      <c r="K15" s="159"/>
      <c r="L15" s="160"/>
    </row>
    <row r="16" spans="2:12" ht="6" customHeight="1" x14ac:dyDescent="0.15">
      <c r="B16" s="158"/>
      <c r="C16" s="159"/>
      <c r="D16" s="159"/>
      <c r="E16" s="159"/>
      <c r="F16" s="159"/>
      <c r="G16" s="159"/>
      <c r="H16" s="159"/>
      <c r="I16" s="159"/>
      <c r="J16" s="159"/>
      <c r="K16" s="159"/>
      <c r="L16" s="160"/>
    </row>
    <row r="17" spans="2:12" ht="13.9" customHeight="1" x14ac:dyDescent="0.15">
      <c r="B17" s="368" t="s">
        <v>629</v>
      </c>
      <c r="C17" s="369"/>
      <c r="D17" s="369"/>
      <c r="E17" s="369"/>
      <c r="F17" s="369"/>
      <c r="G17" s="369"/>
      <c r="H17" s="369"/>
      <c r="I17" s="159"/>
      <c r="J17" s="159"/>
      <c r="K17" s="159"/>
      <c r="L17" s="160"/>
    </row>
    <row r="18" spans="2:12" ht="13.9" customHeight="1" x14ac:dyDescent="0.15">
      <c r="B18" s="368"/>
      <c r="C18" s="369"/>
      <c r="D18" s="369"/>
      <c r="E18" s="369"/>
      <c r="F18" s="369"/>
      <c r="G18" s="369"/>
      <c r="H18" s="369"/>
      <c r="I18" s="159"/>
      <c r="J18" s="159"/>
      <c r="K18" s="159"/>
      <c r="L18" s="160"/>
    </row>
    <row r="19" spans="2:12" ht="6" customHeight="1" x14ac:dyDescent="0.15">
      <c r="B19" s="163"/>
      <c r="C19" s="161"/>
      <c r="D19" s="161"/>
      <c r="E19" s="161"/>
      <c r="F19" s="161"/>
      <c r="G19" s="161"/>
      <c r="H19" s="161"/>
      <c r="I19" s="159"/>
      <c r="J19" s="159"/>
      <c r="K19" s="159"/>
      <c r="L19" s="160"/>
    </row>
    <row r="20" spans="2:12" x14ac:dyDescent="0.15">
      <c r="B20" s="368" t="s">
        <v>631</v>
      </c>
      <c r="C20" s="369"/>
      <c r="D20" s="369"/>
      <c r="E20" s="369"/>
      <c r="F20" s="369"/>
      <c r="G20" s="369"/>
      <c r="H20" s="369"/>
      <c r="I20" s="159"/>
      <c r="J20" s="159"/>
      <c r="K20" s="159"/>
      <c r="L20" s="160"/>
    </row>
    <row r="21" spans="2:12" x14ac:dyDescent="0.15">
      <c r="B21" s="368"/>
      <c r="C21" s="369"/>
      <c r="D21" s="369"/>
      <c r="E21" s="369"/>
      <c r="F21" s="369"/>
      <c r="G21" s="369"/>
      <c r="H21" s="369"/>
      <c r="I21" s="159"/>
      <c r="J21" s="159"/>
      <c r="K21" s="159"/>
      <c r="L21" s="160"/>
    </row>
    <row r="22" spans="2:12" x14ac:dyDescent="0.15">
      <c r="B22" s="158" t="s">
        <v>632</v>
      </c>
      <c r="C22" s="159"/>
      <c r="D22" s="159"/>
      <c r="E22" s="159"/>
      <c r="F22" s="159"/>
      <c r="G22" s="159"/>
      <c r="H22" s="159"/>
      <c r="I22" s="159"/>
      <c r="J22" s="159"/>
      <c r="K22" s="159"/>
      <c r="L22" s="160"/>
    </row>
    <row r="23" spans="2:12" ht="6" customHeight="1" x14ac:dyDescent="0.15">
      <c r="B23" s="158"/>
      <c r="C23" s="159"/>
      <c r="D23" s="159"/>
      <c r="E23" s="159"/>
      <c r="F23" s="159"/>
      <c r="G23" s="159"/>
      <c r="H23" s="159"/>
      <c r="I23" s="159"/>
      <c r="J23" s="159"/>
      <c r="K23" s="159"/>
      <c r="L23" s="160"/>
    </row>
    <row r="24" spans="2:12" x14ac:dyDescent="0.15">
      <c r="B24" s="158" t="s">
        <v>633</v>
      </c>
      <c r="C24" s="159"/>
      <c r="D24" s="159"/>
      <c r="E24" s="159"/>
      <c r="F24" s="159"/>
      <c r="G24" s="159"/>
      <c r="H24" s="159"/>
      <c r="I24" s="159"/>
      <c r="J24" s="159"/>
      <c r="K24" s="159"/>
      <c r="L24" s="160"/>
    </row>
    <row r="25" spans="2:12" ht="6" customHeight="1" x14ac:dyDescent="0.15">
      <c r="B25" s="158"/>
      <c r="C25" s="159"/>
      <c r="D25" s="159"/>
      <c r="E25" s="159"/>
      <c r="F25" s="159"/>
      <c r="G25" s="159"/>
      <c r="H25" s="159"/>
      <c r="I25" s="159"/>
      <c r="J25" s="159"/>
      <c r="K25" s="159"/>
      <c r="L25" s="160"/>
    </row>
    <row r="26" spans="2:12" ht="13.9" customHeight="1" x14ac:dyDescent="0.15">
      <c r="B26" s="368" t="s">
        <v>634</v>
      </c>
      <c r="C26" s="369"/>
      <c r="D26" s="369"/>
      <c r="E26" s="369"/>
      <c r="F26" s="369"/>
      <c r="G26" s="369"/>
      <c r="H26" s="369"/>
      <c r="I26" s="369"/>
      <c r="J26" s="369"/>
      <c r="K26" s="369"/>
      <c r="L26" s="370"/>
    </row>
    <row r="27" spans="2:12" x14ac:dyDescent="0.15">
      <c r="B27" s="368"/>
      <c r="C27" s="369"/>
      <c r="D27" s="369"/>
      <c r="E27" s="369"/>
      <c r="F27" s="369"/>
      <c r="G27" s="369"/>
      <c r="H27" s="369"/>
      <c r="I27" s="369"/>
      <c r="J27" s="369"/>
      <c r="K27" s="369"/>
      <c r="L27" s="370"/>
    </row>
    <row r="28" spans="2:12" ht="6" customHeight="1" x14ac:dyDescent="0.15">
      <c r="B28" s="158"/>
      <c r="C28" s="159"/>
      <c r="D28" s="159"/>
      <c r="E28" s="159"/>
      <c r="F28" s="159"/>
      <c r="G28" s="159"/>
      <c r="H28" s="159"/>
      <c r="I28" s="159"/>
      <c r="J28" s="159"/>
      <c r="K28" s="159"/>
      <c r="L28" s="160"/>
    </row>
    <row r="29" spans="2:12" ht="6" customHeight="1" x14ac:dyDescent="0.15">
      <c r="B29" s="158"/>
      <c r="C29" s="159"/>
      <c r="D29" s="159"/>
      <c r="E29" s="159"/>
      <c r="F29" s="159"/>
      <c r="G29" s="159"/>
      <c r="H29" s="159"/>
      <c r="I29" s="159"/>
      <c r="J29" s="159"/>
      <c r="K29" s="159"/>
      <c r="L29" s="160"/>
    </row>
    <row r="30" spans="2:12" x14ac:dyDescent="0.15">
      <c r="B30" s="374" t="s">
        <v>571</v>
      </c>
      <c r="C30" s="375"/>
      <c r="D30" s="159"/>
      <c r="E30" s="159"/>
      <c r="F30" s="159"/>
      <c r="G30" s="159"/>
      <c r="H30" s="159"/>
      <c r="I30" s="159"/>
      <c r="J30" s="159"/>
      <c r="K30" s="159"/>
      <c r="L30" s="160"/>
    </row>
    <row r="31" spans="2:12" x14ac:dyDescent="0.15">
      <c r="B31" s="374"/>
      <c r="C31" s="375"/>
      <c r="D31" s="159"/>
      <c r="E31" s="159"/>
      <c r="F31" s="159"/>
      <c r="G31" s="159"/>
      <c r="H31" s="159"/>
      <c r="I31" s="159"/>
      <c r="J31" s="159"/>
      <c r="K31" s="159"/>
      <c r="L31" s="160"/>
    </row>
    <row r="32" spans="2:12" ht="6" customHeight="1" x14ac:dyDescent="0.15">
      <c r="B32" s="158"/>
      <c r="C32" s="159"/>
      <c r="D32" s="159"/>
      <c r="E32" s="159"/>
      <c r="F32" s="159"/>
      <c r="G32" s="159"/>
      <c r="H32" s="159"/>
      <c r="I32" s="159"/>
      <c r="J32" s="159"/>
      <c r="K32" s="159"/>
      <c r="L32" s="160"/>
    </row>
    <row r="33" spans="2:12" x14ac:dyDescent="0.15">
      <c r="B33" s="368" t="s">
        <v>635</v>
      </c>
      <c r="C33" s="369"/>
      <c r="D33" s="369"/>
      <c r="E33" s="369"/>
      <c r="F33" s="369"/>
      <c r="G33" s="369"/>
      <c r="H33" s="369"/>
      <c r="I33" s="369"/>
      <c r="J33" s="369"/>
      <c r="K33" s="369"/>
      <c r="L33" s="370"/>
    </row>
    <row r="34" spans="2:12" x14ac:dyDescent="0.15">
      <c r="B34" s="368"/>
      <c r="C34" s="369"/>
      <c r="D34" s="369"/>
      <c r="E34" s="369"/>
      <c r="F34" s="369"/>
      <c r="G34" s="369"/>
      <c r="H34" s="369"/>
      <c r="I34" s="369"/>
      <c r="J34" s="369"/>
      <c r="K34" s="369"/>
      <c r="L34" s="370"/>
    </row>
    <row r="35" spans="2:12" ht="6" customHeight="1" x14ac:dyDescent="0.15">
      <c r="B35" s="158"/>
      <c r="C35" s="159"/>
      <c r="D35" s="159"/>
      <c r="E35" s="159"/>
      <c r="F35" s="159"/>
      <c r="G35" s="159"/>
      <c r="H35" s="159"/>
      <c r="I35" s="159"/>
      <c r="J35" s="159"/>
      <c r="K35" s="159"/>
      <c r="L35" s="160"/>
    </row>
    <row r="36" spans="2:12" x14ac:dyDescent="0.15">
      <c r="B36" s="158" t="s">
        <v>636</v>
      </c>
      <c r="C36" s="159"/>
      <c r="D36" s="159"/>
      <c r="E36" s="159"/>
      <c r="F36" s="159"/>
      <c r="G36" s="159"/>
      <c r="H36" s="159"/>
      <c r="I36" s="159"/>
      <c r="J36" s="159"/>
      <c r="K36" s="159"/>
      <c r="L36" s="160"/>
    </row>
    <row r="37" spans="2:12" ht="6" customHeight="1" x14ac:dyDescent="0.15">
      <c r="B37" s="158"/>
      <c r="C37" s="159"/>
      <c r="D37" s="159"/>
      <c r="E37" s="159"/>
      <c r="F37" s="159"/>
      <c r="G37" s="159"/>
      <c r="H37" s="159"/>
      <c r="I37" s="159"/>
      <c r="J37" s="159"/>
      <c r="K37" s="159"/>
      <c r="L37" s="160"/>
    </row>
    <row r="38" spans="2:12" x14ac:dyDescent="0.15">
      <c r="B38" s="158" t="s">
        <v>637</v>
      </c>
      <c r="C38" s="159"/>
      <c r="D38" s="159"/>
      <c r="E38" s="159"/>
      <c r="F38" s="159"/>
      <c r="G38" s="159"/>
      <c r="H38" s="159"/>
      <c r="I38" s="159"/>
      <c r="J38" s="159"/>
      <c r="K38" s="159"/>
      <c r="L38" s="160"/>
    </row>
    <row r="39" spans="2:12" ht="6" customHeight="1" x14ac:dyDescent="0.15">
      <c r="B39" s="158"/>
      <c r="C39" s="159"/>
      <c r="D39" s="159"/>
      <c r="E39" s="159"/>
      <c r="F39" s="159"/>
      <c r="G39" s="159"/>
      <c r="H39" s="159"/>
      <c r="I39" s="159"/>
      <c r="J39" s="159"/>
      <c r="K39" s="159"/>
      <c r="L39" s="160"/>
    </row>
    <row r="40" spans="2:12" x14ac:dyDescent="0.15">
      <c r="B40" s="368" t="s">
        <v>638</v>
      </c>
      <c r="C40" s="369"/>
      <c r="D40" s="369"/>
      <c r="E40" s="369"/>
      <c r="F40" s="369"/>
      <c r="G40" s="369"/>
      <c r="H40" s="369"/>
      <c r="I40" s="369"/>
      <c r="J40" s="369"/>
      <c r="K40" s="369"/>
      <c r="L40" s="370"/>
    </row>
    <row r="41" spans="2:12" x14ac:dyDescent="0.15">
      <c r="B41" s="368"/>
      <c r="C41" s="369"/>
      <c r="D41" s="369"/>
      <c r="E41" s="369"/>
      <c r="F41" s="369"/>
      <c r="G41" s="369"/>
      <c r="H41" s="369"/>
      <c r="I41" s="369"/>
      <c r="J41" s="369"/>
      <c r="K41" s="369"/>
      <c r="L41" s="370"/>
    </row>
    <row r="42" spans="2:12" x14ac:dyDescent="0.15">
      <c r="B42" s="158"/>
      <c r="C42" s="159"/>
      <c r="D42" s="159"/>
      <c r="E42" s="159"/>
      <c r="F42" s="159"/>
      <c r="G42" s="159"/>
      <c r="H42" s="159"/>
      <c r="I42" s="159"/>
      <c r="J42" s="159"/>
      <c r="K42" s="159"/>
      <c r="L42" s="160"/>
    </row>
    <row r="43" spans="2:12" x14ac:dyDescent="0.15">
      <c r="B43" s="158"/>
      <c r="C43" s="159"/>
      <c r="D43" s="159"/>
      <c r="E43" s="159"/>
      <c r="F43" s="159"/>
      <c r="G43" s="159"/>
      <c r="H43" s="159"/>
      <c r="I43" s="159"/>
      <c r="J43" s="159"/>
      <c r="K43" s="159"/>
      <c r="L43" s="160"/>
    </row>
    <row r="44" spans="2:12" x14ac:dyDescent="0.15">
      <c r="B44" s="158"/>
      <c r="C44" s="159"/>
      <c r="D44" s="159"/>
      <c r="E44" s="159"/>
      <c r="F44" s="159"/>
      <c r="G44" s="159"/>
      <c r="H44" s="159"/>
      <c r="I44" s="159"/>
      <c r="J44" s="159"/>
      <c r="K44" s="159"/>
      <c r="L44" s="160"/>
    </row>
    <row r="45" spans="2:12" ht="18" x14ac:dyDescent="0.2">
      <c r="B45" s="164" t="s">
        <v>639</v>
      </c>
      <c r="C45" s="159"/>
      <c r="D45" s="159"/>
      <c r="E45" s="159"/>
      <c r="F45" s="159"/>
      <c r="G45" s="159"/>
      <c r="H45" s="159"/>
      <c r="I45" s="159"/>
      <c r="J45" s="159"/>
      <c r="K45" s="159"/>
      <c r="L45" s="160"/>
    </row>
    <row r="46" spans="2:12" x14ac:dyDescent="0.15">
      <c r="B46" s="158"/>
      <c r="C46" s="159"/>
      <c r="D46" s="159"/>
      <c r="E46" s="159"/>
      <c r="F46" s="159"/>
      <c r="G46" s="159"/>
      <c r="H46" s="159"/>
      <c r="I46" s="159"/>
      <c r="J46" s="159"/>
      <c r="K46" s="159"/>
      <c r="L46" s="160"/>
    </row>
    <row r="47" spans="2:12" x14ac:dyDescent="0.15">
      <c r="B47" s="165" t="s">
        <v>640</v>
      </c>
      <c r="C47" s="159"/>
      <c r="D47" s="159"/>
      <c r="E47" s="159"/>
      <c r="F47" s="159"/>
      <c r="G47" s="159"/>
      <c r="H47" s="159"/>
      <c r="I47" s="159"/>
      <c r="J47" s="159"/>
      <c r="K47" s="159"/>
      <c r="L47" s="160"/>
    </row>
    <row r="48" spans="2:12" ht="6" customHeight="1" x14ac:dyDescent="0.15">
      <c r="B48" s="158"/>
      <c r="C48" s="159"/>
      <c r="D48" s="159"/>
      <c r="E48" s="159"/>
      <c r="F48" s="159"/>
      <c r="G48" s="159"/>
      <c r="H48" s="159"/>
      <c r="I48" s="159"/>
      <c r="J48" s="159"/>
      <c r="K48" s="159"/>
      <c r="L48" s="160"/>
    </row>
    <row r="49" spans="2:12" x14ac:dyDescent="0.15">
      <c r="B49" s="165" t="s">
        <v>641</v>
      </c>
      <c r="C49" s="159"/>
      <c r="D49" s="159"/>
      <c r="E49" s="159"/>
      <c r="F49" s="159"/>
      <c r="G49" s="159"/>
      <c r="H49" s="159"/>
      <c r="I49" s="159"/>
      <c r="J49" s="159"/>
      <c r="K49" s="159"/>
      <c r="L49" s="160"/>
    </row>
    <row r="50" spans="2:12" x14ac:dyDescent="0.15">
      <c r="B50" s="158" t="s">
        <v>712</v>
      </c>
      <c r="C50" s="159"/>
      <c r="D50" s="159"/>
      <c r="E50" s="159"/>
      <c r="F50" s="159"/>
      <c r="G50" s="159"/>
      <c r="H50" s="159"/>
      <c r="I50" s="159"/>
      <c r="J50" s="159"/>
      <c r="K50" s="159"/>
      <c r="L50" s="160"/>
    </row>
    <row r="51" spans="2:12" x14ac:dyDescent="0.15">
      <c r="B51" s="158" t="s">
        <v>713</v>
      </c>
      <c r="C51" s="159"/>
      <c r="D51" s="159"/>
      <c r="E51" s="159"/>
      <c r="F51" s="159"/>
      <c r="G51" s="159"/>
      <c r="H51" s="159"/>
      <c r="I51" s="159"/>
      <c r="J51" s="159"/>
      <c r="K51" s="159"/>
      <c r="L51" s="160"/>
    </row>
    <row r="52" spans="2:12" x14ac:dyDescent="0.15">
      <c r="B52" s="158" t="s">
        <v>701</v>
      </c>
      <c r="C52" s="159"/>
      <c r="D52" s="159"/>
      <c r="E52" s="159"/>
      <c r="F52" s="159"/>
      <c r="G52" s="159"/>
      <c r="H52" s="159"/>
      <c r="I52" s="159"/>
      <c r="J52" s="159"/>
      <c r="K52" s="159"/>
      <c r="L52" s="160"/>
    </row>
    <row r="53" spans="2:12" x14ac:dyDescent="0.15">
      <c r="B53" s="158" t="s">
        <v>714</v>
      </c>
      <c r="C53" s="159"/>
      <c r="D53" s="159"/>
      <c r="E53" s="159"/>
      <c r="F53" s="159"/>
      <c r="G53" s="159"/>
      <c r="H53" s="159"/>
      <c r="I53" s="159"/>
      <c r="J53" s="159"/>
      <c r="K53" s="159"/>
      <c r="L53" s="160"/>
    </row>
    <row r="54" spans="2:12" ht="13.9" customHeight="1" x14ac:dyDescent="0.15">
      <c r="B54" s="158" t="s">
        <v>744</v>
      </c>
      <c r="C54" s="159"/>
      <c r="D54" s="159"/>
      <c r="E54" s="159"/>
      <c r="F54" s="159"/>
      <c r="G54" s="159"/>
      <c r="H54" s="159"/>
      <c r="I54" s="159"/>
      <c r="J54" s="159"/>
      <c r="K54" s="159"/>
      <c r="L54" s="160"/>
    </row>
    <row r="55" spans="2:12" ht="13.9" customHeight="1" x14ac:dyDescent="0.15">
      <c r="B55" s="158" t="s">
        <v>747</v>
      </c>
      <c r="C55" s="159"/>
      <c r="D55" s="159"/>
      <c r="E55" s="159"/>
      <c r="F55" s="159"/>
      <c r="G55" s="159"/>
      <c r="H55" s="159"/>
      <c r="I55" s="159"/>
      <c r="J55" s="159"/>
      <c r="K55" s="159"/>
      <c r="L55" s="160"/>
    </row>
    <row r="56" spans="2:12" x14ac:dyDescent="0.15">
      <c r="B56" s="158"/>
      <c r="C56" s="159"/>
      <c r="D56" s="159"/>
      <c r="E56" s="159"/>
      <c r="F56" s="159"/>
      <c r="G56" s="159"/>
      <c r="H56" s="159"/>
      <c r="I56" s="159"/>
      <c r="J56" s="159"/>
      <c r="K56" s="159"/>
      <c r="L56" s="160"/>
    </row>
    <row r="57" spans="2:12" x14ac:dyDescent="0.15">
      <c r="B57" s="158"/>
      <c r="C57" s="159"/>
      <c r="D57" s="159"/>
      <c r="E57" s="159"/>
      <c r="F57" s="159"/>
      <c r="G57" s="159"/>
      <c r="H57" s="159"/>
      <c r="I57" s="159"/>
      <c r="J57" s="159"/>
      <c r="K57" s="159"/>
      <c r="L57" s="160"/>
    </row>
    <row r="58" spans="2:12" ht="13.9" customHeight="1" x14ac:dyDescent="0.15">
      <c r="B58" s="158"/>
      <c r="C58" s="159"/>
      <c r="D58" s="159"/>
      <c r="E58" s="159"/>
      <c r="F58" s="159"/>
      <c r="G58" s="159"/>
      <c r="H58" s="159"/>
      <c r="I58" s="159"/>
      <c r="J58" s="159"/>
      <c r="K58" s="159"/>
      <c r="L58" s="160"/>
    </row>
    <row r="59" spans="2:12" ht="10.15" customHeight="1" x14ac:dyDescent="0.15">
      <c r="B59" s="158"/>
      <c r="C59" s="159"/>
      <c r="D59" s="159"/>
      <c r="E59" s="159"/>
      <c r="F59" s="159"/>
      <c r="G59" s="159"/>
      <c r="H59" s="159"/>
      <c r="I59" s="159"/>
      <c r="J59" s="159"/>
      <c r="K59" s="159"/>
      <c r="L59" s="160"/>
    </row>
    <row r="60" spans="2:12" ht="13.9" customHeight="1" x14ac:dyDescent="0.15">
      <c r="B60" s="165" t="s">
        <v>648</v>
      </c>
      <c r="C60" s="159"/>
      <c r="D60" s="159"/>
      <c r="E60" s="159"/>
      <c r="F60" s="159"/>
      <c r="G60" s="159"/>
      <c r="H60" s="159"/>
      <c r="I60" s="159"/>
      <c r="J60" s="159"/>
      <c r="K60" s="159"/>
      <c r="L60" s="160"/>
    </row>
    <row r="61" spans="2:12" ht="4.1500000000000004" customHeight="1" x14ac:dyDescent="0.15">
      <c r="B61" s="158"/>
      <c r="C61" s="159"/>
      <c r="D61" s="159"/>
      <c r="E61" s="159"/>
      <c r="F61" s="159"/>
      <c r="G61" s="159"/>
      <c r="H61" s="159"/>
      <c r="I61" s="159"/>
      <c r="J61" s="159"/>
      <c r="K61" s="159"/>
      <c r="L61" s="160"/>
    </row>
    <row r="62" spans="2:12" ht="10.15" customHeight="1" x14ac:dyDescent="0.15">
      <c r="B62" s="178" t="s">
        <v>715</v>
      </c>
      <c r="C62" s="159"/>
      <c r="D62" s="159"/>
      <c r="E62" s="159"/>
      <c r="F62" s="159"/>
      <c r="G62" s="159"/>
      <c r="H62" s="159"/>
      <c r="I62" s="159"/>
      <c r="J62" s="159"/>
      <c r="K62" s="159"/>
      <c r="L62" s="160"/>
    </row>
    <row r="63" spans="2:12" ht="13.9" customHeight="1" x14ac:dyDescent="0.15">
      <c r="B63" s="158"/>
      <c r="C63" s="159"/>
      <c r="D63" s="159"/>
      <c r="E63" s="159"/>
      <c r="F63" s="159"/>
      <c r="G63" s="159"/>
      <c r="H63" s="159"/>
      <c r="I63" s="159"/>
      <c r="J63" s="159"/>
      <c r="K63" s="159"/>
      <c r="L63" s="160"/>
    </row>
    <row r="64" spans="2:12" ht="13.9" customHeight="1" x14ac:dyDescent="0.15">
      <c r="B64" s="371" t="s">
        <v>642</v>
      </c>
      <c r="C64" s="372"/>
      <c r="D64" s="372"/>
      <c r="E64" s="372"/>
      <c r="F64" s="372"/>
      <c r="G64" s="372"/>
      <c r="H64" s="372"/>
      <c r="I64" s="372"/>
      <c r="J64" s="372"/>
      <c r="K64" s="372"/>
      <c r="L64" s="373"/>
    </row>
    <row r="65" spans="2:12" ht="6" customHeight="1" thickBot="1" x14ac:dyDescent="0.2">
      <c r="B65" s="166"/>
      <c r="C65" s="167"/>
      <c r="D65" s="167"/>
      <c r="E65" s="167"/>
      <c r="F65" s="167"/>
      <c r="G65" s="167"/>
      <c r="H65" s="167"/>
      <c r="I65" s="167"/>
      <c r="J65" s="167"/>
      <c r="K65" s="167"/>
      <c r="L65" s="168"/>
    </row>
    <row r="66" spans="2:12" ht="13.9" customHeight="1" x14ac:dyDescent="0.15">
      <c r="B66" s="173"/>
      <c r="C66" s="174"/>
      <c r="D66" s="174"/>
      <c r="E66" s="174"/>
      <c r="F66" s="174"/>
      <c r="G66" s="174"/>
      <c r="H66" s="174"/>
      <c r="I66" s="174"/>
      <c r="J66" s="174"/>
      <c r="K66" s="174"/>
      <c r="L66" s="174"/>
    </row>
    <row r="67" spans="2:12" ht="13.9" customHeight="1" x14ac:dyDescent="0.15">
      <c r="B67" s="173"/>
      <c r="C67" s="174"/>
      <c r="D67" s="174"/>
      <c r="E67" s="174"/>
      <c r="F67" s="174"/>
      <c r="G67" s="174"/>
      <c r="H67" s="174"/>
      <c r="I67" s="174"/>
      <c r="J67" s="174"/>
      <c r="K67" s="174"/>
      <c r="L67" s="174"/>
    </row>
    <row r="68" spans="2:12" ht="13.9" customHeight="1" x14ac:dyDescent="0.15"/>
    <row r="69" spans="2:12" ht="13.9" customHeight="1" x14ac:dyDescent="0.15"/>
    <row r="70" spans="2:12" ht="13.9" customHeight="1" x14ac:dyDescent="0.15"/>
    <row r="71" spans="2:12" ht="13.9" customHeight="1" x14ac:dyDescent="0.15"/>
  </sheetData>
  <sheetProtection algorithmName="SHA-512" hashValue="+SJKYpfPW55dh8/BtdExFUJA8cX5cCIA3oU/5Awl7usf5cR687dN+f3PqO4azXWjvlWWjf0Ll5HF8X8U4MNBqg==" saltValue="BUNVTqM3bjTWaNV6w/f3kA==" spinCount="100000" sheet="1" objects="1" scenarios="1"/>
  <mergeCells count="11">
    <mergeCell ref="B40:L41"/>
    <mergeCell ref="B64:L64"/>
    <mergeCell ref="B17:H18"/>
    <mergeCell ref="B20:H21"/>
    <mergeCell ref="B30:C31"/>
    <mergeCell ref="B26:L27"/>
    <mergeCell ref="B2:L2"/>
    <mergeCell ref="B3:L3"/>
    <mergeCell ref="B7:H8"/>
    <mergeCell ref="B12:H13"/>
    <mergeCell ref="B33:L3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2375</TotalTime>
  <Application>Excel Android</Application>
  <DocSecurity>0</DocSecurity>
  <ScaleCrop>false</ScaleCrop>
  <HeadingPairs>
    <vt:vector size="4" baseType="variant">
      <vt:variant>
        <vt:lpstr>Fogli di lavoro</vt:lpstr>
      </vt:variant>
      <vt:variant>
        <vt:i4>6</vt:i4>
      </vt:variant>
      <vt:variant>
        <vt:lpstr>Intervalli denominati</vt:lpstr>
      </vt:variant>
      <vt:variant>
        <vt:i4>36</vt:i4>
      </vt:variant>
    </vt:vector>
  </HeadingPairs>
  <TitlesOfParts>
    <vt:vector size="42" baseType="lpstr">
      <vt:lpstr>Roster</vt:lpstr>
      <vt:lpstr>StarPlayer</vt:lpstr>
      <vt:lpstr>Skill</vt:lpstr>
      <vt:lpstr>Team</vt:lpstr>
      <vt:lpstr>Reces</vt:lpstr>
      <vt:lpstr>Read Me</vt:lpstr>
      <vt:lpstr>Agility</vt:lpstr>
      <vt:lpstr>Agility_R</vt:lpstr>
      <vt:lpstr>Roster!Area_stampa</vt:lpstr>
      <vt:lpstr>Black_Orc</vt:lpstr>
      <vt:lpstr>Chaos_Chosen</vt:lpstr>
      <vt:lpstr>Chaos_Renegade</vt:lpstr>
      <vt:lpstr>Dark_Elf</vt:lpstr>
      <vt:lpstr>Dwarf</vt:lpstr>
      <vt:lpstr>Elven_Union</vt:lpstr>
      <vt:lpstr>General</vt:lpstr>
      <vt:lpstr>General_R</vt:lpstr>
      <vt:lpstr>Goblin</vt:lpstr>
      <vt:lpstr>Halfling</vt:lpstr>
      <vt:lpstr>Human</vt:lpstr>
      <vt:lpstr>Imperial_Nobility</vt:lpstr>
      <vt:lpstr>Lizardmen</vt:lpstr>
      <vt:lpstr>LowCost</vt:lpstr>
      <vt:lpstr>Mode</vt:lpstr>
      <vt:lpstr>Mutation</vt:lpstr>
      <vt:lpstr>Mutation_R</vt:lpstr>
      <vt:lpstr>Necromantic_Horror</vt:lpstr>
      <vt:lpstr>Nurgle</vt:lpstr>
      <vt:lpstr>Ogre</vt:lpstr>
      <vt:lpstr>Old_World_Alliance</vt:lpstr>
      <vt:lpstr>Orc</vt:lpstr>
      <vt:lpstr>Passing</vt:lpstr>
      <vt:lpstr>Passing_R</vt:lpstr>
      <vt:lpstr>Shambling_Undead</vt:lpstr>
      <vt:lpstr>Skaven</vt:lpstr>
      <vt:lpstr>Snotling</vt:lpstr>
      <vt:lpstr>Strength</vt:lpstr>
      <vt:lpstr>Strength_R</vt:lpstr>
      <vt:lpstr>TeamList</vt:lpstr>
      <vt:lpstr>Underworld_Denizens</vt:lpstr>
      <vt:lpstr>Upgread</vt:lpstr>
      <vt:lpstr>Wood_Elf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Tommaso D'Ulivo</dc:creator>
  <cp:lastModifiedBy>Tommaso D'ulivo</cp:lastModifiedBy>
  <cp:revision>6</cp:revision>
  <cp:lastPrinted>2021-12-05T02:02:03Z</cp:lastPrinted>
  <dcterms:created xsi:type="dcterms:W3CDTF">2020-08-11T01:20:21Z</dcterms:created>
  <dcterms:modified xsi:type="dcterms:W3CDTF">2022-06-05T01:16:02Z</dcterms:modified>
</cp:coreProperties>
</file>