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Leggi me" sheetId="3" r:id="rId3"/>
  </sheets>
  <definedNames>
    <definedName name="_xlnm.Print_Area" localSheetId="1">'Match History'!$A:$Y</definedName>
    <definedName name="_xlnm.Print_Area" localSheetId="0">'Team Roster'!$B$2:$AA$25</definedName>
  </definedNames>
  <calcPr fullCalcOnLoad="1"/>
</workbook>
</file>

<file path=xl/comments1.xml><?xml version="1.0" encoding="utf-8"?>
<comments xmlns="http://schemas.openxmlformats.org/spreadsheetml/2006/main">
  <authors>
    <author>Jari Morari</author>
  </authors>
  <commentList>
    <comment ref="O2" authorId="0">
      <text>
        <r>
          <rPr>
            <b/>
            <sz val="8"/>
            <rFont val="Tahoma"/>
            <family val="2"/>
          </rPr>
          <t xml:space="preserve">infortuni cronici: 
</t>
        </r>
        <r>
          <rPr>
            <sz val="8"/>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N2" authorId="0">
      <text>
        <r>
          <rPr>
            <b/>
            <sz val="8"/>
            <rFont val="Tahoma"/>
            <family val="2"/>
          </rPr>
          <t xml:space="preserve">miss next:
</t>
        </r>
        <r>
          <rPr>
            <sz val="8"/>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P2" authorId="0">
      <text>
        <r>
          <rPr>
            <b/>
            <sz val="8"/>
            <rFont val="Tahoma"/>
            <family val="2"/>
          </rPr>
          <t>infortuni alle caratteristiche:</t>
        </r>
        <r>
          <rPr>
            <sz val="8"/>
            <rFont val="Tahoma"/>
            <family val="2"/>
          </rPr>
          <t xml:space="preserve">
in queste colonne vanno indicati con valori negativi (-1, -2, etc) gli infortuni alle caratteristiche subiti dai giocatori</t>
        </r>
      </text>
    </comment>
    <comment ref="AB2" authorId="0">
      <text>
        <r>
          <rPr>
            <b/>
            <sz val="8"/>
            <rFont val="Tahoma"/>
            <family val="2"/>
          </rPr>
          <t>modificatore del valore:</t>
        </r>
        <r>
          <rPr>
            <sz val="8"/>
            <rFont val="Tahoma"/>
            <family val="2"/>
          </rPr>
          <t xml:space="preserve">
in questa colonna può essere inserito un modificatore del valore del giocatore customizzato. 
Nb: i valori inseriti vengono moltiplicati per 1000.</t>
        </r>
      </text>
    </comment>
    <comment ref="L2" authorId="0">
      <text>
        <r>
          <rPr>
            <b/>
            <sz val="8"/>
            <rFont val="Tahoma"/>
            <family val="2"/>
          </rPr>
          <t xml:space="preserve">stagioni giocate:
</t>
        </r>
        <r>
          <rPr>
            <sz val="8"/>
            <rFont val="Tahoma"/>
            <family val="2"/>
          </rPr>
          <t>All'inizio della stagione, se viene fatta la riconvocazione (re-draft) della squadra, va inserito un +1 in questa colonna.</t>
        </r>
      </text>
    </comment>
    <comment ref="M2" authorId="0">
      <text>
        <r>
          <rPr>
            <b/>
            <sz val="8"/>
            <rFont val="Tahoma"/>
            <family val="2"/>
          </rPr>
          <t xml:space="preserve">ritiro: 
</t>
        </r>
        <r>
          <rPr>
            <sz val="8"/>
            <rFont val="Tahoma"/>
            <family val="2"/>
          </rPr>
          <t>alla fine della stagione, per ogni giocatore con almeno 2 stagioni completate (2+ nella colonna S), tira un d6.
Se il risultato del dado è inferiore al valore della colonna inserisci una "R" in questa colonna</t>
        </r>
      </text>
    </comment>
  </commentList>
</comments>
</file>

<file path=xl/sharedStrings.xml><?xml version="1.0" encoding="utf-8"?>
<sst xmlns="http://schemas.openxmlformats.org/spreadsheetml/2006/main" count="3205" uniqueCount="970">
  <si>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</si>
  <si>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</si>
  <si>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</si>
  <si>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</si>
  <si>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</si>
  <si>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</si>
  <si>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</si>
  <si>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</si>
  <si>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</si>
  <si>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</si>
  <si>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</si>
  <si>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</si>
  <si>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</si>
  <si>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</si>
  <si>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</si>
  <si>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</si>
  <si>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</si>
  <si>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</si>
  <si>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</si>
  <si>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</si>
  <si>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</si>
  <si>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</si>
  <si>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</si>
  <si>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</si>
  <si>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</si>
  <si>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</si>
  <si>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</si>
  <si>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</si>
  <si>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</si>
  <si>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</si>
  <si>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</si>
  <si>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</si>
  <si>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</si>
  <si>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</si>
  <si>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</si>
  <si>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</si>
  <si>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</si>
  <si>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</si>
  <si>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</si>
  <si>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</si>
  <si>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</si>
  <si>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</si>
  <si>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</si>
  <si>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</si>
  <si>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</si>
  <si>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</si>
  <si>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</si>
  <si>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</si>
  <si>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</si>
  <si>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</si>
  <si>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</si>
  <si>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</si>
  <si>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</si>
  <si>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</si>
  <si>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</si>
  <si>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</si>
  <si>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</si>
  <si>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</si>
  <si>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</si>
  <si>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</si>
  <si>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</si>
  <si>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</si>
  <si>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</si>
  <si>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</si>
  <si>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</si>
  <si>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</si>
  <si>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</si>
  <si>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</si>
  <si>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</si>
  <si>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</si>
  <si>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</si>
  <si>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</si>
  <si>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</si>
  <si>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</si>
  <si>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</si>
  <si>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</si>
  <si>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</si>
  <si>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</si>
  <si>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</si>
  <si>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</si>
  <si>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</si>
  <si>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</si>
  <si>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</si>
  <si>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</si>
  <si>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</si>
  <si>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</si>
  <si>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</si>
  <si>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</si>
  <si>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</si>
  <si>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</si>
  <si>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</si>
  <si>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</si>
  <si>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</si>
  <si>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</si>
  <si>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</si>
  <si>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</si>
  <si>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</si>
  <si>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</si>
  <si>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</si>
  <si>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</si>
  <si>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</si>
  <si>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</si>
  <si>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</si>
  <si>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</si>
  <si>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</si>
  <si>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</si>
  <si>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</si>
  <si>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</si>
  <si>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</si>
  <si>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</si>
  <si>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</si>
  <si>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</si>
  <si>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</si>
  <si>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</si>
  <si>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</si>
  <si>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</si>
  <si>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</si>
  <si>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</si>
  <si>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</si>
  <si>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</si>
  <si>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</si>
  <si>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</si>
  <si>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</si>
  <si>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</si>
  <si>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</si>
  <si>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</si>
  <si>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</si>
  <si>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</si>
  <si>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</si>
  <si>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</si>
  <si>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</si>
  <si>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</si>
  <si>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</si>
  <si>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</si>
  <si>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</si>
  <si>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</si>
  <si>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</si>
  <si>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</si>
  <si>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</si>
  <si>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</si>
  <si>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</si>
  <si>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</si>
  <si>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</si>
  <si>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</si>
  <si>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</si>
  <si>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</si>
  <si>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</si>
  <si>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</si>
  <si>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</si>
  <si>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</si>
  <si>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</si>
  <si>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</si>
  <si>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</si>
  <si>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</si>
  <si>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</si>
  <si>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</si>
  <si>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</si>
  <si>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</si>
  <si>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</si>
  <si>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</si>
  <si>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</si>
  <si>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</si>
  <si>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</si>
  <si>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</si>
  <si>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</si>
  <si>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</si>
  <si>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</si>
  <si>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</si>
  <si>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</si>
  <si>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</si>
  <si>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</si>
  <si>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</si>
  <si>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</si>
  <si>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</si>
  <si>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</si>
  <si>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</si>
  <si>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</si>
  <si>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</si>
  <si>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</si>
  <si>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</si>
  <si>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</si>
  <si>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</si>
  <si>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</si>
  <si>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</si>
  <si>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</si>
  <si>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</si>
  <si>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</si>
  <si>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</si>
  <si>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</si>
  <si>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</si>
  <si>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</si>
  <si>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</si>
  <si>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</si>
  <si>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</si>
  <si>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</si>
  <si>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</si>
  <si>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</si>
  <si>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</si>
  <si>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</si>
  <si>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</si>
  <si>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</si>
  <si>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</si>
  <si>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</si>
  <si>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</si>
  <si>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</si>
  <si>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</si>
  <si>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</si>
  <si>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</si>
  <si>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</si>
  <si>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</si>
  <si>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</si>
  <si>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</si>
  <si>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</si>
  <si>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</si>
  <si>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</si>
  <si>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</si>
  <si>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</si>
  <si>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</si>
  <si>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</si>
  <si>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</si>
  <si>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</si>
  <si>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</si>
  <si>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</si>
  <si>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</si>
  <si>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</si>
  <si>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</si>
  <si>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</si>
  <si>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</si>
  <si>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</si>
  <si>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</si>
  <si>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</si>
  <si>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</si>
  <si>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</si>
  <si>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</si>
  <si>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</si>
  <si>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</si>
  <si>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</si>
  <si>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</si>
  <si>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</si>
  <si>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</si>
  <si>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</si>
  <si>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</si>
  <si>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</si>
  <si>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</si>
  <si>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</si>
  <si>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</si>
  <si>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</si>
  <si>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</si>
  <si>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</si>
  <si>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</si>
  <si>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</si>
  <si>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</si>
  <si>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</si>
  <si>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</si>
  <si>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</si>
  <si>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</si>
  <si>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</si>
  <si>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</si>
  <si>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</si>
  <si>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</si>
  <si>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</si>
  <si>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</si>
  <si>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</si>
  <si>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</si>
  <si>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</si>
  <si>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</si>
  <si>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</si>
  <si>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</si>
  <si>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</si>
  <si>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</si>
  <si>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</si>
  <si>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</si>
  <si>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</si>
  <si>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</si>
  <si>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</si>
  <si>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</si>
  <si>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</si>
  <si>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</si>
  <si>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</si>
  <si>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</si>
  <si>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</si>
  <si>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</si>
  <si>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</si>
  <si>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</si>
  <si>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</si>
  <si>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</si>
  <si>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</si>
  <si>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</si>
  <si>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</si>
  <si>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</si>
  <si>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</si>
  <si>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</si>
  <si>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</si>
  <si>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</si>
  <si>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</si>
  <si>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</si>
  <si>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</si>
  <si>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</si>
  <si>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</si>
  <si>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</si>
  <si>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</si>
  <si>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</si>
  <si>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</si>
  <si>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</si>
  <si>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</si>
  <si>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</si>
  <si>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</si>
  <si>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</si>
  <si>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</si>
  <si>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</si>
  <si>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</si>
  <si>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</si>
  <si>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</si>
  <si>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</si>
  <si>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</si>
  <si>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</si>
  <si>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</si>
  <si>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</si>
  <si>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</si>
  <si>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</si>
  <si>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</si>
  <si>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</si>
  <si>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</si>
  <si>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</si>
  <si>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</si>
  <si>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</si>
  <si>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</si>
  <si>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</si>
  <si>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</si>
  <si>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</si>
  <si>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</si>
  <si>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</si>
  <si>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</si>
  <si>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</si>
  <si>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</si>
  <si>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</si>
  <si>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</si>
  <si>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</si>
  <si>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</si>
  <si>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</si>
  <si>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</si>
  <si>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</si>
  <si>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</si>
  <si>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</si>
  <si>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</si>
  <si>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</si>
  <si>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</si>
  <si>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</si>
  <si>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</si>
  <si>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</si>
  <si>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</si>
  <si>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</si>
  <si>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</si>
  <si>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</si>
  <si>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</si>
  <si>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</si>
  <si>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</si>
  <si>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</si>
  <si>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</si>
  <si>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</si>
  <si>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</si>
  <si>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</si>
  <si>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</si>
  <si>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</si>
  <si>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</si>
  <si>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</si>
  <si>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</si>
  <si>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</si>
  <si>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</si>
  <si>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</si>
  <si>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</si>
  <si>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</si>
  <si>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</si>
  <si>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</si>
  <si>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</si>
  <si>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</si>
  <si>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</si>
  <si>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</si>
  <si>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</si>
  <si>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</si>
  <si>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</si>
  <si>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</si>
  <si>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</si>
  <si>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</si>
  <si>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</si>
  <si>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</si>
  <si>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</si>
  <si>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</si>
  <si>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</si>
  <si>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</si>
  <si>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</si>
  <si>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</si>
  <si>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</si>
  <si>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</si>
  <si>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</si>
  <si>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</si>
  <si>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</si>
  <si>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</si>
  <si>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</si>
  <si>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</si>
  <si>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</si>
  <si>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</si>
  <si>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</si>
  <si>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</si>
  <si>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</si>
  <si>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</si>
  <si>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</si>
  <si>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</si>
  <si>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</si>
  <si>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</si>
  <si>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</si>
  <si>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</si>
  <si>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</si>
  <si>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</si>
  <si>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</si>
  <si>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</si>
  <si>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</si>
  <si>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</si>
  <si>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</si>
  <si>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</si>
  <si>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</si>
  <si>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</si>
  <si>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</si>
  <si>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</si>
  <si>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</si>
  <si>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</si>
  <si>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</si>
  <si>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</si>
  <si>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</si>
  <si>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</si>
  <si>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</si>
  <si>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</si>
  <si>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</si>
  <si>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</si>
  <si>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</si>
  <si>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</si>
  <si>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</si>
  <si>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</si>
  <si>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</si>
  <si>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Hafling 2</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</si>
  <si>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</si>
  <si>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</si>
  <si>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</si>
  <si>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</si>
  <si>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</si>
  <si>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</si>
  <si>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</si>
  <si>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</si>
  <si>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</si>
  <si>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</si>
  <si>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</si>
  <si>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</si>
  <si>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</si>
  <si>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</si>
  <si>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</si>
  <si>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</si>
  <si>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</si>
  <si>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</si>
  <si>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</si>
  <si>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</si>
  <si>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</si>
  <si>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</si>
  <si>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</si>
  <si>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</si>
  <si>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</si>
  <si>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</si>
  <si>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</si>
  <si>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</si>
  <si>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</si>
  <si>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</si>
  <si>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</si>
  <si>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</si>
  <si>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</si>
  <si>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</si>
  <si>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</si>
  <si>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</si>
  <si>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</si>
  <si>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</si>
  <si>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</si>
  <si>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</si>
  <si>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</si>
  <si>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</si>
  <si>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</si>
  <si>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</si>
  <si>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</si>
  <si>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</si>
  <si>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</si>
  <si>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</si>
  <si>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</si>
  <si>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</si>
  <si>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</si>
  <si>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</si>
  <si>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</si>
  <si>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</si>
  <si>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</si>
  <si>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</si>
  <si>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</si>
  <si>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</si>
  <si>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</si>
  <si>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</si>
  <si>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</si>
  <si>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</si>
  <si>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</si>
  <si>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</si>
  <si>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</si>
  <si>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</si>
  <si>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</si>
  <si>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</si>
  <si>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</si>
  <si>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</si>
  <si>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</si>
  <si>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</si>
  <si>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</si>
  <si>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</si>
  <si>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</si>
  <si>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</si>
  <si>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</si>
  <si>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</si>
  <si>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</si>
  <si>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</si>
  <si>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</si>
  <si>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</si>
  <si>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</si>
  <si>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</si>
  <si>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</si>
  <si>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</si>
  <si>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</si>
  <si>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</si>
  <si>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</si>
  <si>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</si>
  <si>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</si>
  <si>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</si>
  <si>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</si>
  <si>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</si>
  <si>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</si>
  <si>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</si>
  <si>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</si>
  <si>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</si>
  <si>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</si>
  <si>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</si>
  <si>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</si>
  <si>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</si>
  <si>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</si>
  <si>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</si>
  <si>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</si>
  <si>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</si>
  <si>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</si>
  <si>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</si>
  <si>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</si>
  <si>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</si>
  <si>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</si>
  <si>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</si>
  <si>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</si>
  <si>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</si>
  <si>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</si>
  <si>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</si>
  <si>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</si>
  <si>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</si>
  <si>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</si>
  <si>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</si>
  <si>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</si>
  <si>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</si>
  <si>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</si>
  <si>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</si>
  <si>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</si>
  <si>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</si>
  <si>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</si>
  <si>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</si>
  <si>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</si>
  <si>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</si>
  <si>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</si>
  <si>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</si>
  <si>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</si>
  <si>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</si>
  <si>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</si>
  <si>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</si>
  <si>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</si>
  <si>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</si>
  <si>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</si>
  <si>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</si>
  <si>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</si>
  <si>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</si>
  <si>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</si>
  <si>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</si>
  <si>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</si>
  <si>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</si>
  <si>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</si>
  <si>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</si>
  <si>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</si>
  <si>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</si>
  <si>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</si>
  <si>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</si>
  <si>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</si>
  <si>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</si>
  <si>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</si>
  <si>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</si>
  <si>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</si>
  <si>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</si>
  <si>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</si>
  <si>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</si>
  <si>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</si>
  <si>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</si>
  <si>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</si>
  <si>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</si>
  <si>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</si>
  <si>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Pass, Strong Arm, Sure Hands, Tentacles</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</si>
  <si>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</si>
  <si>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</si>
  <si>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</si>
  <si>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</si>
  <si>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</si>
  <si>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</si>
  <si>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</si>
  <si>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</si>
  <si>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</si>
  <si>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</si>
  <si>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</si>
  <si>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</si>
  <si>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</si>
  <si>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</si>
  <si>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</si>
  <si>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</si>
  <si>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</si>
  <si>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</si>
  <si>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</si>
  <si>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</si>
  <si>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</si>
  <si>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</si>
  <si>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</si>
  <si>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</si>
  <si>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</si>
  <si>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</si>
  <si>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</si>
  <si>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</si>
  <si>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</si>
  <si>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</si>
  <si>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</si>
  <si>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</si>
  <si>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</si>
  <si>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</si>
  <si>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</si>
  <si>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</si>
  <si>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</si>
  <si>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</si>
  <si>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</si>
  <si>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</si>
  <si>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</si>
  <si>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</si>
  <si>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</si>
  <si>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</si>
  <si>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</si>
  <si>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</si>
  <si>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</si>
  <si>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</si>
  <si>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</si>
  <si>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</si>
  <si>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</si>
  <si>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</si>
  <si>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</si>
  <si>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</si>
  <si>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</si>
  <si>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</si>
  <si>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</si>
  <si>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</si>
  <si>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</si>
  <si>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</si>
  <si>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</si>
  <si>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</si>
  <si>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</si>
  <si>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</si>
  <si>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</si>
  <si>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</si>
  <si>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</si>
  <si>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</si>
  <si>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</si>
  <si>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</si>
  <si>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</si>
  <si>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</si>
  <si>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</si>
  <si>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</si>
  <si>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</si>
  <si>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</si>
  <si>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</si>
  <si>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</si>
  <si>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</si>
  <si>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</si>
  <si>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</si>
  <si>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</si>
  <si>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</si>
  <si>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</si>
  <si>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</si>
  <si>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</si>
  <si>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</si>
  <si>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</si>
  <si>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</si>
  <si>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</si>
  <si>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</si>
  <si>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</si>
  <si>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</si>
  <si>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</si>
  <si>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</si>
  <si>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</si>
  <si>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</si>
  <si>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</si>
  <si>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</si>
  <si>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</si>
  <si>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</si>
  <si>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</si>
  <si>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</si>
  <si>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</si>
  <si>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</si>
  <si>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</si>
  <si>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</si>
  <si>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</si>
  <si>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</si>
  <si>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</si>
  <si>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</si>
  <si>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</si>
  <si>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</si>
  <si>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</si>
  <si>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</si>
  <si>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</si>
  <si>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</si>
  <si>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</si>
  <si>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</si>
  <si>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</si>
  <si>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</si>
  <si>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</si>
  <si>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</si>
  <si>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</si>
  <si>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</si>
  <si>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</si>
  <si>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</si>
  <si>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</si>
  <si>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</si>
  <si>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</si>
  <si>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</si>
  <si>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</si>
  <si>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</si>
  <si>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</si>
  <si>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</si>
  <si>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</si>
  <si>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</si>
  <si>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</si>
  <si>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</si>
  <si>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</si>
  <si>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</si>
  <si>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</si>
  <si>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</si>
  <si>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</si>
  <si>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</si>
  <si>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</si>
  <si>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</si>
  <si>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</si>
  <si>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</si>
  <si>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</si>
  <si>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</si>
  <si>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</si>
  <si>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</si>
  <si>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</si>
  <si>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</si>
  <si>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</si>
  <si>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</si>
  <si>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</si>
  <si>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</si>
  <si>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</si>
  <si>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</si>
  <si>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</si>
  <si>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</si>
  <si>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</si>
  <si>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</si>
  <si>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</si>
  <si>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</si>
  <si>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</si>
  <si>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</si>
  <si>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</si>
  <si>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</si>
  <si>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</si>
  <si>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</si>
  <si>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</si>
  <si>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</si>
  <si>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</si>
  <si>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</si>
  <si>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</si>
  <si>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</si>
  <si>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</si>
  <si>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</si>
  <si>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</si>
  <si>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</si>
  <si>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</si>
  <si>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</si>
  <si>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</si>
  <si>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</si>
  <si>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</si>
  <si>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</si>
  <si>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</si>
  <si>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</si>
  <si>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</si>
  <si>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</si>
  <si>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</si>
  <si>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</si>
  <si>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</si>
  <si>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</si>
  <si>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</si>
  <si>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</si>
  <si>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</si>
  <si>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</si>
  <si>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</si>
  <si>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0"/>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</si>
  <si>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</si>
  <si>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</si>
  <si>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</si>
  <si>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</si>
  <si>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</si>
  <si>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</si>
  <si>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</si>
  <si>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Khorne Daemons (nu)</t>
  </si>
  <si>
    <t>Renegade Human</t>
  </si>
  <si>
    <t>Renegade Skaven</t>
  </si>
  <si>
    <t>Renegade Dark Elf</t>
  </si>
  <si>
    <t>Bretonnian (nu)</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</si>
  <si>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</si>
  <si>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</si>
  <si>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</si>
  <si>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</si>
  <si>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</si>
  <si>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</si>
  <si>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</si>
  <si>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</si>
  <si>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</si>
  <si>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</si>
  <si>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</si>
  <si>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</si>
  <si>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</si>
  <si>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</si>
  <si>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</si>
  <si>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</si>
  <si>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</si>
  <si>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</si>
  <si>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</si>
  <si>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</si>
  <si>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</si>
  <si>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</si>
  <si>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</si>
  <si>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</si>
  <si>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</si>
  <si>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</si>
  <si>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</si>
  <si>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</si>
  <si>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</si>
  <si>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</si>
  <si>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</si>
  <si>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</si>
  <si>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</si>
  <si>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</si>
  <si>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</si>
  <si>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</si>
  <si>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</si>
  <si>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</si>
  <si>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</si>
  <si>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</si>
  <si>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</si>
  <si>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</si>
  <si>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</si>
  <si>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</si>
  <si>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</si>
  <si>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</si>
  <si>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</si>
  <si>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</si>
  <si>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</si>
  <si>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</si>
  <si>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</si>
  <si>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</si>
  <si>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</si>
  <si>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</si>
  <si>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</si>
  <si>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BB16 v 1.0.7</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</si>
  <si>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</si>
  <si>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</si>
  <si>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</si>
  <si>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</si>
  <si>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</si>
  <si>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</si>
  <si>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</si>
  <si>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</si>
  <si>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</si>
  <si>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</si>
  <si>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</si>
  <si>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</si>
  <si>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</si>
  <si>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</si>
  <si>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</si>
  <si>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</si>
  <si>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</si>
  <si>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</si>
  <si>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</si>
  <si>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</si>
  <si>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</si>
  <si>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</si>
  <si>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</si>
  <si>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</si>
  <si>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</si>
  <si>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</si>
  <si>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</si>
  <si>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</si>
  <si>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</si>
  <si>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</si>
  <si>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</si>
  <si>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</si>
  <si>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</si>
  <si>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</si>
  <si>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</si>
  <si>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</si>
  <si>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</si>
  <si>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</si>
  <si>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</si>
  <si>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</si>
  <si>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</si>
  <si>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</si>
  <si>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</si>
  <si>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</si>
  <si>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</si>
  <si>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</si>
  <si>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</si>
  <si>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</si>
  <si>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</si>
  <si>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</si>
  <si>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</si>
  <si>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</si>
  <si>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</si>
  <si>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</si>
  <si>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</si>
  <si>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</si>
  <si>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</si>
  <si>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</si>
  <si>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</si>
  <si>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</si>
  <si>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</si>
  <si>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</si>
  <si>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</si>
  <si>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</si>
  <si>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</si>
  <si>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</si>
  <si>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</si>
  <si>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</si>
  <si>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</si>
  <si>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</si>
  <si>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</si>
  <si>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</si>
  <si>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</si>
  <si>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</si>
  <si>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</si>
  <si>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Lo Star Player Helmut Wulf ora potrà giocare anche per la razza Chaos Renegade</t>
  </si>
  <si>
    <t>&gt; Aggiornata la razza "Chaos Renegade" con l'aggiunta del positional Orc Renegade</t>
  </si>
  <si>
    <t>&gt; Aggiornata la razza "Goblin" con i nuovi positional: 'Ooligan e Doom Diver</t>
  </si>
  <si>
    <t>Wewo</t>
  </si>
  <si>
    <t>Mmmh</t>
  </si>
  <si>
    <t>Bu Bu</t>
  </si>
  <si>
    <t>Aaahhh</t>
  </si>
  <si>
    <t>Splat</t>
  </si>
  <si>
    <t>Hee</t>
  </si>
  <si>
    <t>Slap</t>
  </si>
  <si>
    <t>CAMPOSANTO B.B. CLUB</t>
  </si>
  <si>
    <t>Ex cuba</t>
  </si>
  <si>
    <t>Ex Miss Brady</t>
  </si>
  <si>
    <t xml:space="preserve"> </t>
  </si>
  <si>
    <t>Sguish II</t>
  </si>
  <si>
    <t>Grrr</t>
  </si>
  <si>
    <t>Bleah II</t>
  </si>
  <si>
    <t>Aulu II</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</si>
</sst>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k"/>
  </numFmts>
  <fonts count="67">
    <font>
      <sz val="10"/>
      <name val="Arial"/>
      <family val="0"/>
    </font>
    <font>
      <sz val="11"/>
      <color indexed="8"/>
      <name val="Calibri"/>
      <family val="2"/>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name val="Tahoma"/>
      <family val="2"/>
    </font>
    <font>
      <b/>
      <sz val="8"/>
      <name val="Tahoma"/>
      <family val="2"/>
    </font>
    <font>
      <sz val="6"/>
      <color indexed="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36"/>
      <name val="Calibri"/>
      <family val="2"/>
    </font>
    <font>
      <sz val="11"/>
      <color indexed="4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6"/>
      <color rgb="FFFF0000"/>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3" tint="0.5999900102615356"/>
        <bgColor indexed="64"/>
      </patternFill>
    </fill>
    <fill>
      <patternFill patternType="solid">
        <fgColor rgb="FFDAEEF3"/>
        <bgColor indexed="64"/>
      </patternFill>
    </fill>
    <fill>
      <patternFill patternType="solid">
        <fgColor rgb="FFEAF1DD"/>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medium"/>
      <right/>
      <top style="thin"/>
      <bottom style="thin"/>
    </border>
    <border>
      <left style="medium"/>
      <right/>
      <top style="medium"/>
      <bottom style="medium"/>
    </border>
    <border>
      <left style="thin"/>
      <right style="thin"/>
      <top style="medium"/>
      <bottom style="medium"/>
    </border>
    <border>
      <left/>
      <right style="thin"/>
      <top style="medium"/>
      <bottom style="medium"/>
    </border>
    <border>
      <left style="thin"/>
      <right style="medium"/>
      <top style="medium"/>
      <bottom style="medium"/>
    </border>
    <border>
      <left/>
      <right/>
      <top/>
      <bottom style="medium"/>
    </border>
    <border>
      <left/>
      <right/>
      <top style="medium"/>
      <bottom/>
    </border>
    <border>
      <left/>
      <right/>
      <top style="medium"/>
      <bottom style="thin"/>
    </border>
    <border>
      <left/>
      <right/>
      <top style="thin"/>
      <bottom/>
    </border>
    <border>
      <left style="medium"/>
      <right/>
      <top/>
      <bottom style="medium"/>
    </border>
    <border>
      <left style="medium"/>
      <right/>
      <top/>
      <bottom/>
    </border>
    <border>
      <left/>
      <right/>
      <top style="medium"/>
      <bottom style="medium"/>
    </border>
    <border>
      <left style="medium"/>
      <right/>
      <top style="medium"/>
      <bottom style="thin"/>
    </border>
    <border>
      <left style="thin"/>
      <right style="thin"/>
      <top style="thin"/>
      <bottom style="thin"/>
    </border>
    <border>
      <left style="thin"/>
      <right style="thin"/>
      <top/>
      <bottom/>
    </border>
    <border>
      <left style="thin"/>
      <right style="thin"/>
      <top/>
      <bottom style="thin"/>
    </border>
    <border>
      <left style="medium"/>
      <right style="medium"/>
      <top/>
      <bottom/>
    </border>
    <border>
      <left style="medium"/>
      <right style="medium"/>
      <top/>
      <bottom style="medium"/>
    </border>
    <border>
      <left style="medium"/>
      <right style="medium"/>
      <top style="thin"/>
      <bottom style="thin"/>
    </border>
    <border>
      <left style="medium"/>
      <right style="medium"/>
      <top style="medium"/>
      <bottom style="thin"/>
    </border>
    <border>
      <left/>
      <right/>
      <top/>
      <bottom style="thin"/>
    </border>
    <border>
      <left style="thin"/>
      <right/>
      <top/>
      <bottom/>
    </border>
    <border>
      <left style="medium"/>
      <right style="medium"/>
      <top style="medium"/>
      <bottom/>
    </border>
    <border>
      <left/>
      <right style="medium"/>
      <top style="medium"/>
      <bottom style="thin"/>
    </border>
    <border>
      <left/>
      <right style="medium"/>
      <top style="thin"/>
      <bottom/>
    </border>
    <border>
      <left/>
      <right style="medium"/>
      <top/>
      <bottom style="medium"/>
    </border>
    <border>
      <left/>
      <right style="medium"/>
      <top style="medium"/>
      <bottom style="medium"/>
    </border>
    <border>
      <left style="medium"/>
      <right style="medium"/>
      <top style="thin"/>
      <bottom/>
    </border>
    <border>
      <left style="thin"/>
      <right/>
      <top style="medium"/>
      <bottom style="thin"/>
    </border>
    <border>
      <left style="thin"/>
      <right/>
      <top style="thin"/>
      <bottom style="thin"/>
    </border>
    <border>
      <left/>
      <right style="medium"/>
      <top style="thin"/>
      <bottom style="thin"/>
    </border>
    <border>
      <left style="thin"/>
      <right style="thin"/>
      <top style="medium"/>
      <bottom style="thin"/>
    </border>
    <border>
      <left style="medium"/>
      <right/>
      <top style="thin"/>
      <bottom/>
    </border>
    <border>
      <left style="thin"/>
      <right/>
      <top style="thin"/>
      <bottom/>
    </border>
    <border>
      <left style="thin"/>
      <right/>
      <top/>
      <bottom style="medium"/>
    </border>
    <border>
      <left style="thin"/>
      <right style="thin"/>
      <top style="thin"/>
      <bottom/>
    </border>
    <border>
      <left style="thin"/>
      <right style="thin"/>
      <top/>
      <bottom style="medium"/>
    </border>
    <border>
      <left style="medium"/>
      <right/>
      <top/>
      <bottom style="thin"/>
    </border>
    <border>
      <left style="medium"/>
      <right style="medium"/>
      <top/>
      <bottom style="thin"/>
    </border>
    <border>
      <left/>
      <right style="medium"/>
      <top/>
      <bottom style="thin"/>
    </border>
    <border>
      <left style="thin"/>
      <right/>
      <top/>
      <bottom style="thin"/>
    </border>
    <border>
      <left style="medium"/>
      <right style="medium"/>
      <top style="medium"/>
      <bottom style="medium"/>
    </border>
    <border>
      <left style="medium"/>
      <right/>
      <top style="thin"/>
      <bottom style="medium"/>
    </border>
    <border>
      <left/>
      <right/>
      <top style="thin"/>
      <bottom style="medium"/>
    </border>
    <border>
      <left/>
      <right style="medium"/>
      <top style="thin"/>
      <bottom style="medium"/>
    </border>
    <border>
      <left style="thin"/>
      <right style="thin"/>
      <top style="thin"/>
      <bottom style="medium"/>
    </border>
    <border>
      <left style="thin"/>
      <right/>
      <top style="medium"/>
      <bottom style="medium"/>
    </border>
    <border>
      <left style="thin"/>
      <right style="medium"/>
      <top/>
      <bottom style="medium"/>
    </border>
    <border>
      <left style="medium"/>
      <right/>
      <top style="medium"/>
      <bottom/>
    </border>
    <border>
      <left/>
      <right style="medium"/>
      <top style="medium"/>
      <bottom/>
    </border>
    <border>
      <left/>
      <right style="medium"/>
      <top/>
      <bottom/>
    </border>
    <border>
      <left/>
      <right style="thin"/>
      <top style="medium"/>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8"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0">
    <xf numFmtId="0" fontId="0" fillId="0" borderId="0" xfId="0" applyAlignment="1">
      <alignment/>
    </xf>
    <xf numFmtId="0" fontId="7" fillId="33" borderId="10" xfId="0" applyFont="1" applyFill="1" applyBorder="1" applyAlignment="1" applyProtection="1">
      <alignment horizontal="right" vertical="center" wrapText="1"/>
      <protection locked="0"/>
    </xf>
    <xf numFmtId="0" fontId="7" fillId="33" borderId="10"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right" vertical="center" wrapText="1"/>
      <protection locked="0"/>
    </xf>
    <xf numFmtId="0" fontId="2" fillId="34" borderId="0" xfId="0" applyFont="1" applyFill="1" applyBorder="1" applyAlignment="1" applyProtection="1">
      <alignment/>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shrinkToFit="1"/>
      <protection hidden="1"/>
    </xf>
    <xf numFmtId="0" fontId="2" fillId="34" borderId="0" xfId="0" applyNumberFormat="1" applyFont="1" applyFill="1" applyBorder="1" applyAlignment="1" applyProtection="1">
      <alignment vertical="center"/>
      <protection hidden="1"/>
    </xf>
    <xf numFmtId="0" fontId="5" fillId="35" borderId="12" xfId="0" applyFont="1" applyFill="1" applyBorder="1" applyAlignment="1" applyProtection="1">
      <alignment horizontal="center" vertical="center"/>
      <protection hidden="1"/>
    </xf>
    <xf numFmtId="0" fontId="5" fillId="35" borderId="13" xfId="0" applyFont="1" applyFill="1" applyBorder="1" applyAlignment="1" applyProtection="1">
      <alignment horizontal="center" vertical="center"/>
      <protection hidden="1"/>
    </xf>
    <xf numFmtId="0" fontId="5" fillId="35" borderId="14" xfId="0" applyFont="1" applyFill="1" applyBorder="1" applyAlignment="1" applyProtection="1">
      <alignment horizontal="center" vertical="center"/>
      <protection hidden="1"/>
    </xf>
    <xf numFmtId="0" fontId="5" fillId="35" borderId="15" xfId="0" applyFont="1" applyFill="1" applyBorder="1" applyAlignment="1" applyProtection="1">
      <alignment horizontal="center" vertical="center"/>
      <protection hidden="1"/>
    </xf>
    <xf numFmtId="0" fontId="2" fillId="36" borderId="16" xfId="0" applyFont="1" applyFill="1" applyBorder="1" applyAlignment="1" applyProtection="1">
      <alignment vertical="center"/>
      <protection hidden="1"/>
    </xf>
    <xf numFmtId="0" fontId="2" fillId="36" borderId="17" xfId="0" applyFont="1" applyFill="1" applyBorder="1" applyAlignment="1" applyProtection="1">
      <alignment horizontal="right" vertical="center"/>
      <protection hidden="1"/>
    </xf>
    <xf numFmtId="3" fontId="4" fillId="36" borderId="18" xfId="0" applyNumberFormat="1" applyFont="1" applyFill="1" applyBorder="1" applyAlignment="1" applyProtection="1">
      <alignment vertical="center"/>
      <protection hidden="1"/>
    </xf>
    <xf numFmtId="0" fontId="2" fillId="36" borderId="10" xfId="0" applyFont="1" applyFill="1" applyBorder="1" applyAlignment="1" applyProtection="1">
      <alignment horizontal="right" vertical="center"/>
      <protection hidden="1"/>
    </xf>
    <xf numFmtId="0" fontId="4" fillId="36" borderId="10" xfId="0" applyFont="1" applyFill="1" applyBorder="1" applyAlignment="1" applyProtection="1">
      <alignment vertical="center"/>
      <protection hidden="1"/>
    </xf>
    <xf numFmtId="0" fontId="2" fillId="35"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shrinkToFit="1"/>
      <protection/>
    </xf>
    <xf numFmtId="0" fontId="3" fillId="0" borderId="0" xfId="0" applyFont="1" applyFill="1" applyBorder="1" applyAlignment="1" applyProtection="1">
      <alignment horizontal="center" vertical="center"/>
      <protection/>
    </xf>
    <xf numFmtId="3" fontId="3" fillId="0" borderId="0" xfId="0" applyNumberFormat="1" applyFont="1" applyFill="1" applyBorder="1" applyAlignment="1" applyProtection="1">
      <alignment horizontal="center" vertical="center"/>
      <protection/>
    </xf>
    <xf numFmtId="3" fontId="3" fillId="0" borderId="0" xfId="0"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0" fillId="0" borderId="0" xfId="0" applyAlignment="1" applyProtection="1">
      <alignment/>
      <protection/>
    </xf>
    <xf numFmtId="0" fontId="2" fillId="35"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34" borderId="0" xfId="0" applyNumberFormat="1" applyFont="1" applyFill="1" applyBorder="1" applyAlignment="1" applyProtection="1">
      <alignment vertical="center"/>
      <protection/>
    </xf>
    <xf numFmtId="0" fontId="3" fillId="0" borderId="0" xfId="0" applyFont="1" applyAlignment="1" applyProtection="1">
      <alignment vertical="center" shrinkToFit="1"/>
      <protection/>
    </xf>
    <xf numFmtId="0" fontId="0" fillId="0" borderId="0" xfId="0" applyAlignment="1" applyProtection="1">
      <alignment horizontal="left"/>
      <protection/>
    </xf>
    <xf numFmtId="0" fontId="2"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Alignment="1" applyProtection="1">
      <alignment vertical="center" wrapText="1"/>
      <protection/>
    </xf>
    <xf numFmtId="3" fontId="3" fillId="0" borderId="0" xfId="0" applyNumberFormat="1" applyFont="1" applyAlignment="1" applyProtection="1">
      <alignment horizontal="right" vertical="center"/>
      <protection/>
    </xf>
    <xf numFmtId="3" fontId="2"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3" fillId="0" borderId="0" xfId="0" applyFont="1" applyAlignment="1" applyProtection="1">
      <alignment vertical="center"/>
      <protection/>
    </xf>
    <xf numFmtId="3" fontId="0" fillId="0" borderId="0" xfId="0" applyNumberFormat="1" applyAlignment="1" applyProtection="1">
      <alignment horizontal="right" vertical="center"/>
      <protection/>
    </xf>
    <xf numFmtId="0" fontId="2" fillId="34" borderId="0" xfId="0" applyFont="1" applyFill="1" applyBorder="1" applyAlignment="1" applyProtection="1">
      <alignment/>
      <protection/>
    </xf>
    <xf numFmtId="0" fontId="2"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2" fillId="36" borderId="12" xfId="0" applyFont="1" applyFill="1" applyBorder="1" applyAlignment="1" applyProtection="1">
      <alignment horizontal="right" vertical="center" shrinkToFit="1"/>
      <protection hidden="1"/>
    </xf>
    <xf numFmtId="0" fontId="7" fillId="37" borderId="19" xfId="0" applyFont="1" applyFill="1" applyBorder="1" applyAlignment="1" applyProtection="1">
      <alignment horizontal="center" vertical="center"/>
      <protection hidden="1"/>
    </xf>
    <xf numFmtId="0" fontId="4" fillId="37" borderId="16" xfId="0" applyFont="1" applyFill="1" applyBorder="1" applyAlignment="1" applyProtection="1">
      <alignment horizontal="center" vertical="center"/>
      <protection hidden="1"/>
    </xf>
    <xf numFmtId="0" fontId="4" fillId="37" borderId="20"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1"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Alignment="1" applyProtection="1">
      <alignment/>
      <protection hidden="1"/>
    </xf>
    <xf numFmtId="49" fontId="7" fillId="34" borderId="0" xfId="0" applyNumberFormat="1" applyFont="1" applyFill="1" applyBorder="1" applyAlignment="1" applyProtection="1">
      <alignment horizontal="left" vertical="center"/>
      <protection hidden="1"/>
    </xf>
    <xf numFmtId="0" fontId="7" fillId="34" borderId="0" xfId="0" applyFont="1" applyFill="1" applyBorder="1" applyAlignment="1" applyProtection="1">
      <alignment vertical="center"/>
      <protection hidden="1"/>
    </xf>
    <xf numFmtId="0" fontId="7"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0" xfId="0" applyFont="1" applyFill="1" applyBorder="1" applyAlignment="1" applyProtection="1">
      <alignment/>
      <protection hidden="1"/>
    </xf>
    <xf numFmtId="0" fontId="15" fillId="36" borderId="22"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7" fillId="34" borderId="21" xfId="0" applyFont="1" applyFill="1" applyBorder="1" applyAlignment="1" applyProtection="1">
      <alignment vertical="center"/>
      <protection hidden="1"/>
    </xf>
    <xf numFmtId="0" fontId="4" fillId="34" borderId="21"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0" fontId="0" fillId="35" borderId="18" xfId="0" applyFont="1" applyFill="1" applyBorder="1" applyAlignment="1" applyProtection="1">
      <alignment horizontal="right" vertical="center"/>
      <protection hidden="1"/>
    </xf>
    <xf numFmtId="0" fontId="0" fillId="35" borderId="18" xfId="0" applyFont="1" applyFill="1" applyBorder="1" applyAlignment="1" applyProtection="1">
      <alignment horizontal="center" vertical="center"/>
      <protection hidden="1"/>
    </xf>
    <xf numFmtId="0" fontId="0" fillId="35" borderId="18" xfId="0" applyFont="1" applyFill="1" applyBorder="1" applyAlignment="1" applyProtection="1">
      <alignment horizontal="left" vertical="center"/>
      <protection hidden="1"/>
    </xf>
    <xf numFmtId="0" fontId="0" fillId="35" borderId="23" xfId="0" applyFont="1" applyFill="1" applyBorder="1" applyAlignment="1" applyProtection="1">
      <alignment horizontal="right" vertical="center"/>
      <protection hidden="1"/>
    </xf>
    <xf numFmtId="49" fontId="7" fillId="37" borderId="10" xfId="0" applyNumberFormat="1" applyFont="1" applyFill="1" applyBorder="1" applyAlignment="1" applyProtection="1">
      <alignment horizontal="left" vertical="center"/>
      <protection hidden="1"/>
    </xf>
    <xf numFmtId="0" fontId="7"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7"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4" xfId="0" applyFont="1" applyFill="1" applyBorder="1" applyAlignment="1" applyProtection="1">
      <alignment horizontal="justify" vertical="center" wrapText="1"/>
      <protection hidden="1"/>
    </xf>
    <xf numFmtId="0" fontId="0" fillId="37" borderId="25" xfId="0" applyFill="1" applyBorder="1" applyAlignment="1" applyProtection="1">
      <alignment horizontal="justify" vertical="center" wrapText="1" shrinkToFit="1"/>
      <protection hidden="1"/>
    </xf>
    <xf numFmtId="0" fontId="0" fillId="37" borderId="26" xfId="0" applyFill="1" applyBorder="1" applyAlignment="1" applyProtection="1">
      <alignment horizontal="justify" vertical="center" wrapText="1" shrinkToFit="1"/>
      <protection hidden="1"/>
    </xf>
    <xf numFmtId="0" fontId="16" fillId="36" borderId="24" xfId="0" applyFont="1" applyFill="1" applyBorder="1" applyAlignment="1" applyProtection="1">
      <alignment horizontal="justify" vertical="center" wrapText="1" shrinkToFit="1"/>
      <protection hidden="1"/>
    </xf>
    <xf numFmtId="0" fontId="13" fillId="36" borderId="22" xfId="0" applyFont="1" applyFill="1" applyBorder="1" applyAlignment="1" applyProtection="1">
      <alignment horizontal="center" vertical="center"/>
      <protection hidden="1"/>
    </xf>
    <xf numFmtId="0" fontId="15" fillId="36" borderId="22" xfId="0" applyFont="1" applyFill="1" applyBorder="1" applyAlignment="1" applyProtection="1">
      <alignment horizontal="center" vertical="center"/>
      <protection hidden="1"/>
    </xf>
    <xf numFmtId="0" fontId="16" fillId="37" borderId="27" xfId="0" applyFont="1" applyFill="1" applyBorder="1" applyAlignment="1" applyProtection="1">
      <alignment horizontal="center" shrinkToFit="1"/>
      <protection hidden="1"/>
    </xf>
    <xf numFmtId="0" fontId="0" fillId="37" borderId="28"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7" fillId="33" borderId="29"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38" borderId="18" xfId="0" applyFont="1" applyFill="1" applyBorder="1" applyAlignment="1" applyProtection="1">
      <alignment horizontal="center" vertical="center"/>
      <protection hidden="1"/>
    </xf>
    <xf numFmtId="0" fontId="6" fillId="38" borderId="30" xfId="0" applyFont="1" applyFill="1" applyBorder="1" applyAlignment="1" applyProtection="1">
      <alignment horizontal="center" vertical="center" shrinkToFit="1"/>
      <protection hidden="1"/>
    </xf>
    <xf numFmtId="0" fontId="6" fillId="38" borderId="18" xfId="0" applyFont="1" applyFill="1" applyBorder="1" applyAlignment="1" applyProtection="1">
      <alignment horizontal="right" vertical="center"/>
      <protection hidden="1"/>
    </xf>
    <xf numFmtId="0" fontId="6" fillId="38" borderId="18" xfId="0" applyFont="1" applyFill="1" applyBorder="1" applyAlignment="1" applyProtection="1">
      <alignment horizontal="left" vertical="center"/>
      <protection hidden="1"/>
    </xf>
    <xf numFmtId="0" fontId="6" fillId="0" borderId="0" xfId="0" applyFont="1" applyAlignment="1" applyProtection="1">
      <alignment/>
      <protection hidden="1"/>
    </xf>
    <xf numFmtId="0" fontId="17" fillId="34" borderId="31"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shrinkToFit="1"/>
      <protection hidden="1"/>
    </xf>
    <xf numFmtId="0" fontId="7" fillId="34" borderId="0" xfId="0" applyFont="1" applyFill="1" applyBorder="1" applyAlignment="1" applyProtection="1">
      <alignment horizontal="left" vertical="center" wrapText="1"/>
      <protection hidden="1"/>
    </xf>
    <xf numFmtId="0" fontId="4"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4" fillId="34" borderId="16" xfId="0" applyNumberFormat="1" applyFont="1" applyFill="1" applyBorder="1" applyAlignment="1" applyProtection="1">
      <alignment horizontal="center" vertical="center"/>
      <protection hidden="1"/>
    </xf>
    <xf numFmtId="0" fontId="18" fillId="34" borderId="31"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2" xfId="0" applyFont="1" applyBorder="1" applyAlignment="1" applyProtection="1">
      <alignment/>
      <protection hidden="1"/>
    </xf>
    <xf numFmtId="0" fontId="0" fillId="37" borderId="33" xfId="0" applyFont="1" applyFill="1" applyBorder="1" applyAlignment="1" applyProtection="1">
      <alignment vertical="center" shrinkToFit="1"/>
      <protection hidden="1"/>
    </xf>
    <xf numFmtId="49" fontId="0" fillId="35" borderId="34" xfId="0" applyNumberFormat="1" applyFont="1" applyFill="1" applyBorder="1" applyAlignment="1" applyProtection="1">
      <alignment horizontal="left" vertical="center"/>
      <protection hidden="1"/>
    </xf>
    <xf numFmtId="49" fontId="7" fillId="37" borderId="35" xfId="0" applyNumberFormat="1" applyFont="1" applyFill="1" applyBorder="1" applyAlignment="1" applyProtection="1">
      <alignment horizontal="left" vertical="center"/>
      <protection hidden="1"/>
    </xf>
    <xf numFmtId="49" fontId="4" fillId="37" borderId="36" xfId="0" applyNumberFormat="1" applyFont="1" applyFill="1" applyBorder="1" applyAlignment="1" applyProtection="1">
      <alignment horizontal="left" vertical="center"/>
      <protection hidden="1"/>
    </xf>
    <xf numFmtId="0" fontId="15" fillId="36" borderId="12" xfId="0" applyFont="1" applyFill="1" applyBorder="1" applyAlignment="1" applyProtection="1">
      <alignment vertical="center"/>
      <protection hidden="1"/>
    </xf>
    <xf numFmtId="0" fontId="12" fillId="36" borderId="22" xfId="0" applyFont="1" applyFill="1" applyBorder="1" applyAlignment="1" applyProtection="1">
      <alignment horizontal="left" vertical="center"/>
      <protection hidden="1"/>
    </xf>
    <xf numFmtId="0" fontId="12" fillId="36" borderId="22" xfId="0" applyFont="1" applyFill="1" applyBorder="1" applyAlignment="1" applyProtection="1">
      <alignment horizontal="right" vertical="center"/>
      <protection hidden="1"/>
    </xf>
    <xf numFmtId="3" fontId="15" fillId="36" borderId="37" xfId="0" applyNumberFormat="1" applyFont="1" applyFill="1" applyBorder="1" applyAlignment="1" applyProtection="1">
      <alignment horizontal="right" vertical="center" shrinkToFit="1"/>
      <protection hidden="1"/>
    </xf>
    <xf numFmtId="3" fontId="2" fillId="35" borderId="28" xfId="0" applyNumberFormat="1" applyFont="1" applyFill="1" applyBorder="1" applyAlignment="1" applyProtection="1">
      <alignment horizontal="right" vertical="center" shrinkToFit="1"/>
      <protection hidden="1"/>
    </xf>
    <xf numFmtId="3" fontId="2" fillId="35" borderId="30" xfId="0" applyNumberFormat="1" applyFont="1" applyFill="1" applyBorder="1" applyAlignment="1" applyProtection="1">
      <alignment horizontal="right" vertical="center" shrinkToFit="1"/>
      <protection hidden="1"/>
    </xf>
    <xf numFmtId="3" fontId="2" fillId="35" borderId="29" xfId="0" applyNumberFormat="1" applyFont="1" applyFill="1" applyBorder="1" applyAlignment="1" applyProtection="1">
      <alignment horizontal="right" vertical="center" shrinkToFit="1"/>
      <protection hidden="1"/>
    </xf>
    <xf numFmtId="3" fontId="2" fillId="35" borderId="38" xfId="0" applyNumberFormat="1" applyFont="1" applyFill="1" applyBorder="1" applyAlignment="1" applyProtection="1">
      <alignment horizontal="right" vertical="center" shrinkToFit="1"/>
      <protection hidden="1"/>
    </xf>
    <xf numFmtId="164" fontId="4" fillId="37" borderId="16"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xf>
    <xf numFmtId="0" fontId="16" fillId="37" borderId="25" xfId="0" applyFont="1" applyFill="1" applyBorder="1" applyAlignment="1" applyProtection="1">
      <alignment horizontal="justify" vertical="top" wrapText="1"/>
      <protection hidden="1"/>
    </xf>
    <xf numFmtId="0" fontId="0" fillId="37" borderId="25" xfId="0" applyFill="1" applyBorder="1" applyAlignment="1" applyProtection="1">
      <alignment horizontal="justify" vertical="top" wrapText="1"/>
      <protection hidden="1"/>
    </xf>
    <xf numFmtId="0" fontId="14" fillId="37" borderId="25" xfId="0" applyFont="1" applyFill="1" applyBorder="1" applyAlignment="1" applyProtection="1">
      <alignment horizontal="justify" vertical="top" wrapText="1" shrinkToFit="1"/>
      <protection hidden="1"/>
    </xf>
    <xf numFmtId="0" fontId="0" fillId="37" borderId="25" xfId="0"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protection/>
    </xf>
    <xf numFmtId="3" fontId="3" fillId="0" borderId="0" xfId="0" applyNumberFormat="1" applyFont="1" applyFill="1" applyBorder="1" applyAlignment="1" applyProtection="1">
      <alignment vertical="center"/>
      <protection/>
    </xf>
    <xf numFmtId="3" fontId="3"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6" xfId="0" applyFont="1" applyFill="1" applyBorder="1" applyAlignment="1" applyProtection="1">
      <alignment horizontal="right"/>
      <protection hidden="1"/>
    </xf>
    <xf numFmtId="0" fontId="7" fillId="37" borderId="0" xfId="0" applyFont="1" applyFill="1" applyBorder="1" applyAlignment="1" applyProtection="1">
      <alignment horizontal="left" vertical="center" wrapText="1"/>
      <protection hidden="1"/>
    </xf>
    <xf numFmtId="0" fontId="6" fillId="36" borderId="18" xfId="0" applyFont="1" applyFill="1" applyBorder="1" applyAlignment="1" applyProtection="1">
      <alignment horizontal="left" vertical="center"/>
      <protection hidden="1"/>
    </xf>
    <xf numFmtId="0" fontId="6" fillId="36" borderId="18" xfId="0" applyFont="1" applyFill="1" applyBorder="1" applyAlignment="1" applyProtection="1">
      <alignment horizontal="center" vertical="center"/>
      <protection hidden="1"/>
    </xf>
    <xf numFmtId="0" fontId="7" fillId="37" borderId="0" xfId="0" applyFont="1" applyFill="1" applyBorder="1" applyAlignment="1" applyProtection="1">
      <alignment horizontal="center" vertical="center" wrapText="1"/>
      <protection hidden="1"/>
    </xf>
    <xf numFmtId="0" fontId="5" fillId="38" borderId="23" xfId="0" applyFont="1" applyFill="1" applyBorder="1" applyAlignment="1" applyProtection="1">
      <alignment horizontal="left" vertical="center"/>
      <protection hidden="1"/>
    </xf>
    <xf numFmtId="0" fontId="2" fillId="38" borderId="18" xfId="0" applyFont="1" applyFill="1" applyBorder="1" applyAlignment="1" applyProtection="1">
      <alignment horizontal="center" vertical="center"/>
      <protection hidden="1"/>
    </xf>
    <xf numFmtId="0" fontId="5" fillId="38" borderId="18" xfId="0" applyFont="1" applyFill="1" applyBorder="1" applyAlignment="1" applyProtection="1">
      <alignment horizontal="left" vertical="center"/>
      <protection hidden="1"/>
    </xf>
    <xf numFmtId="0" fontId="5" fillId="38" borderId="39" xfId="0" applyFont="1" applyFill="1" applyBorder="1" applyAlignment="1" applyProtection="1">
      <alignment horizontal="right" vertical="center"/>
      <protection hidden="1"/>
    </xf>
    <xf numFmtId="0" fontId="2" fillId="35" borderId="23" xfId="0" applyFont="1" applyFill="1" applyBorder="1" applyAlignment="1" applyProtection="1">
      <alignment horizontal="left" vertical="center"/>
      <protection hidden="1"/>
    </xf>
    <xf numFmtId="0" fontId="2" fillId="35" borderId="18" xfId="0" applyFont="1" applyFill="1" applyBorder="1" applyAlignment="1" applyProtection="1">
      <alignment horizontal="center" vertical="center"/>
      <protection hidden="1"/>
    </xf>
    <xf numFmtId="0" fontId="2" fillId="35" borderId="18" xfId="0" applyFont="1" applyFill="1" applyBorder="1" applyAlignment="1" applyProtection="1">
      <alignment horizontal="left" vertical="center"/>
      <protection hidden="1"/>
    </xf>
    <xf numFmtId="0" fontId="2" fillId="35" borderId="39" xfId="0" applyFont="1" applyFill="1" applyBorder="1" applyAlignment="1" applyProtection="1">
      <alignment horizontal="right" vertical="center"/>
      <protection hidden="1"/>
    </xf>
    <xf numFmtId="0" fontId="2" fillId="37" borderId="19" xfId="0"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right" vertical="center"/>
      <protection hidden="1"/>
    </xf>
    <xf numFmtId="0" fontId="2" fillId="0" borderId="0" xfId="0" applyFont="1" applyAlignment="1" applyProtection="1">
      <alignment/>
      <protection hidden="1"/>
    </xf>
    <xf numFmtId="0" fontId="2" fillId="0" borderId="0" xfId="0" applyFont="1" applyAlignment="1" applyProtection="1">
      <alignment horizontal="center"/>
      <protection hidden="1"/>
    </xf>
    <xf numFmtId="0" fontId="4" fillId="34" borderId="21" xfId="0" applyFont="1" applyFill="1" applyBorder="1" applyAlignment="1" applyProtection="1">
      <alignment horizontal="left" vertical="center" wrapText="1"/>
      <protection hidden="1"/>
    </xf>
    <xf numFmtId="0" fontId="4" fillId="34" borderId="0"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left" vertical="center" wrapText="1"/>
      <protection hidden="1"/>
    </xf>
    <xf numFmtId="0" fontId="4" fillId="34" borderId="0" xfId="0" applyFont="1" applyFill="1" applyBorder="1" applyAlignment="1" applyProtection="1">
      <alignment horizontal="right" vertical="center" wrapText="1"/>
      <protection hidden="1"/>
    </xf>
    <xf numFmtId="0" fontId="4" fillId="34" borderId="0" xfId="0" applyFont="1" applyFill="1" applyBorder="1" applyAlignment="1" applyProtection="1">
      <alignment horizontal="center" vertical="center"/>
      <protection hidden="1"/>
    </xf>
    <xf numFmtId="0" fontId="4" fillId="33" borderId="11" xfId="0" applyFont="1" applyFill="1" applyBorder="1" applyAlignment="1" applyProtection="1">
      <alignment horizontal="right" vertical="center" wrapText="1"/>
      <protection locked="0"/>
    </xf>
    <xf numFmtId="0" fontId="4" fillId="33" borderId="10" xfId="0" applyFont="1" applyFill="1" applyBorder="1" applyAlignment="1" applyProtection="1">
      <alignment horizontal="left" vertical="center" wrapText="1"/>
      <protection locked="0"/>
    </xf>
    <xf numFmtId="0" fontId="4" fillId="33" borderId="40" xfId="0" applyFont="1" applyFill="1" applyBorder="1" applyAlignment="1" applyProtection="1">
      <alignment horizontal="right" vertical="center" wrapText="1"/>
      <protection locked="0"/>
    </xf>
    <xf numFmtId="0" fontId="6" fillId="36" borderId="23" xfId="0" applyFont="1" applyFill="1" applyBorder="1" applyAlignment="1" applyProtection="1">
      <alignment horizontal="right" vertical="center"/>
      <protection hidden="1"/>
    </xf>
    <xf numFmtId="0" fontId="7" fillId="37" borderId="21" xfId="0" applyFont="1" applyFill="1" applyBorder="1" applyAlignment="1" applyProtection="1">
      <alignment horizontal="right" vertical="center" wrapText="1"/>
      <protection hidden="1"/>
    </xf>
    <xf numFmtId="0" fontId="7" fillId="37" borderId="11" xfId="0" applyFont="1" applyFill="1" applyBorder="1" applyAlignment="1" applyProtection="1">
      <alignment horizontal="right" vertical="center" wrapText="1"/>
      <protection hidden="1"/>
    </xf>
    <xf numFmtId="0" fontId="0" fillId="37" borderId="21"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7" fillId="37" borderId="41" xfId="0" applyFont="1" applyFill="1" applyBorder="1" applyAlignment="1" applyProtection="1">
      <alignment horizontal="left" vertical="center" wrapText="1"/>
      <protection hidden="1"/>
    </xf>
    <xf numFmtId="0" fontId="20" fillId="35" borderId="23" xfId="0" applyFont="1" applyFill="1" applyBorder="1" applyAlignment="1" applyProtection="1">
      <alignment horizontal="center" vertical="center"/>
      <protection hidden="1"/>
    </xf>
    <xf numFmtId="0" fontId="21" fillId="35" borderId="42" xfId="0" applyFont="1" applyFill="1" applyBorder="1" applyAlignment="1" applyProtection="1">
      <alignment horizontal="center" vertical="center"/>
      <protection hidden="1"/>
    </xf>
    <xf numFmtId="0" fontId="22" fillId="35" borderId="18" xfId="0" applyFont="1" applyFill="1" applyBorder="1" applyAlignment="1" applyProtection="1">
      <alignment horizontal="center" vertical="center"/>
      <protection hidden="1"/>
    </xf>
    <xf numFmtId="1" fontId="7" fillId="37" borderId="43" xfId="0" applyNumberFormat="1" applyFont="1" applyFill="1" applyBorder="1" applyAlignment="1" applyProtection="1">
      <alignment horizontal="right" vertical="center" shrinkToFit="1"/>
      <protection hidden="1"/>
    </xf>
    <xf numFmtId="0" fontId="4" fillId="37" borderId="19" xfId="0" applyFont="1" applyFill="1" applyBorder="1" applyAlignment="1" applyProtection="1">
      <alignment horizontal="left" vertical="center" shrinkToFit="1"/>
      <protection hidden="1"/>
    </xf>
    <xf numFmtId="0" fontId="4" fillId="37" borderId="44" xfId="0" applyFont="1" applyFill="1" applyBorder="1" applyAlignment="1" applyProtection="1">
      <alignment horizontal="right" vertical="center" shrinkToFit="1"/>
      <protection hidden="1"/>
    </xf>
    <xf numFmtId="0" fontId="4" fillId="37" borderId="43" xfId="0" applyFont="1" applyFill="1" applyBorder="1" applyAlignment="1" applyProtection="1">
      <alignment horizontal="right" vertical="center" shrinkToFit="1"/>
      <protection hidden="1"/>
    </xf>
    <xf numFmtId="0" fontId="7" fillId="37" borderId="19" xfId="0" applyFont="1" applyFill="1" applyBorder="1" applyAlignment="1" applyProtection="1">
      <alignment horizontal="left" vertical="center" shrinkToFit="1"/>
      <protection hidden="1"/>
    </xf>
    <xf numFmtId="0" fontId="7" fillId="37" borderId="43" xfId="0" applyFont="1" applyFill="1" applyBorder="1" applyAlignment="1" applyProtection="1">
      <alignment horizontal="right" vertical="center" shrinkToFit="1"/>
      <protection hidden="1"/>
    </xf>
    <xf numFmtId="0" fontId="7" fillId="37" borderId="19" xfId="0" applyFont="1" applyFill="1" applyBorder="1" applyAlignment="1" applyProtection="1">
      <alignment horizontal="right" vertical="center" shrinkToFit="1"/>
      <protection hidden="1"/>
    </xf>
    <xf numFmtId="164" fontId="4" fillId="37" borderId="16" xfId="0" applyNumberFormat="1" applyFont="1" applyFill="1" applyBorder="1" applyAlignment="1" applyProtection="1">
      <alignment horizontal="right" vertical="center" shrinkToFit="1"/>
      <protection hidden="1"/>
    </xf>
    <xf numFmtId="164" fontId="4" fillId="37" borderId="16" xfId="0" applyNumberFormat="1" applyFont="1" applyFill="1" applyBorder="1" applyAlignment="1" applyProtection="1">
      <alignment horizontal="left" vertical="center" shrinkToFit="1"/>
      <protection hidden="1"/>
    </xf>
    <xf numFmtId="164" fontId="4" fillId="37" borderId="20" xfId="0" applyNumberFormat="1" applyFont="1" applyFill="1" applyBorder="1" applyAlignment="1" applyProtection="1">
      <alignment horizontal="right" vertical="center" shrinkToFit="1"/>
      <protection hidden="1"/>
    </xf>
    <xf numFmtId="164" fontId="3" fillId="37" borderId="20" xfId="0" applyNumberFormat="1" applyFont="1" applyFill="1" applyBorder="1" applyAlignment="1" applyProtection="1">
      <alignment horizontal="right" vertical="center" shrinkToFit="1"/>
      <protection hidden="1"/>
    </xf>
    <xf numFmtId="164" fontId="3" fillId="37" borderId="16" xfId="0" applyNumberFormat="1" applyFont="1" applyFill="1" applyBorder="1" applyAlignment="1" applyProtection="1">
      <alignment horizontal="left" vertical="center" shrinkToFit="1"/>
      <protection hidden="1"/>
    </xf>
    <xf numFmtId="164" fontId="3" fillId="37" borderId="45" xfId="0" applyNumberFormat="1" applyFont="1" applyFill="1" applyBorder="1" applyAlignment="1" applyProtection="1">
      <alignment horizontal="right" vertical="center" shrinkToFit="1"/>
      <protection hidden="1"/>
    </xf>
    <xf numFmtId="0" fontId="7" fillId="37" borderId="43" xfId="0" applyFont="1" applyFill="1" applyBorder="1" applyAlignment="1" applyProtection="1">
      <alignment horizontal="center" vertical="center" shrinkToFit="1"/>
      <protection hidden="1"/>
    </xf>
    <xf numFmtId="0" fontId="7" fillId="37" borderId="46" xfId="0" applyFont="1" applyFill="1" applyBorder="1" applyAlignment="1" applyProtection="1">
      <alignment horizontal="center" vertical="center" shrinkToFit="1"/>
      <protection hidden="1"/>
    </xf>
    <xf numFmtId="0" fontId="7" fillId="37" borderId="19" xfId="0" applyFont="1" applyFill="1" applyBorder="1" applyAlignment="1" applyProtection="1">
      <alignment horizontal="center" vertical="center" shrinkToFit="1"/>
      <protection hidden="1"/>
    </xf>
    <xf numFmtId="9" fontId="4" fillId="37" borderId="20" xfId="49" applyNumberFormat="1" applyFont="1" applyFill="1" applyBorder="1" applyAlignment="1" applyProtection="1">
      <alignment horizontal="center" vertical="center" shrinkToFit="1"/>
      <protection hidden="1"/>
    </xf>
    <xf numFmtId="9" fontId="4" fillId="37" borderId="47" xfId="49" applyNumberFormat="1" applyFont="1" applyFill="1" applyBorder="1" applyAlignment="1" applyProtection="1">
      <alignment horizontal="center" vertical="center" shrinkToFit="1"/>
      <protection hidden="1"/>
    </xf>
    <xf numFmtId="9" fontId="4" fillId="37" borderId="16" xfId="49" applyNumberFormat="1" applyFont="1" applyFill="1" applyBorder="1" applyAlignment="1" applyProtection="1">
      <alignment horizontal="center" vertical="center" shrinkToFit="1"/>
      <protection hidden="1"/>
    </xf>
    <xf numFmtId="0" fontId="4" fillId="34" borderId="12" xfId="0" applyFont="1" applyFill="1" applyBorder="1" applyAlignment="1" applyProtection="1">
      <alignment horizontal="center" vertical="center" wrapText="1" shrinkToFit="1"/>
      <protection hidden="1"/>
    </xf>
    <xf numFmtId="0" fontId="2" fillId="35" borderId="28" xfId="0" applyNumberFormat="1" applyFont="1" applyFill="1" applyBorder="1" applyAlignment="1" applyProtection="1">
      <alignment horizontal="center" vertical="center" shrinkToFit="1"/>
      <protection hidden="1"/>
    </xf>
    <xf numFmtId="0" fontId="2" fillId="35" borderId="11" xfId="0" applyFont="1" applyFill="1" applyBorder="1" applyAlignment="1" applyProtection="1">
      <alignment vertical="center"/>
      <protection hidden="1"/>
    </xf>
    <xf numFmtId="0" fontId="2" fillId="35" borderId="41" xfId="0" applyFont="1" applyFill="1" applyBorder="1" applyAlignment="1" applyProtection="1">
      <alignment vertical="center"/>
      <protection hidden="1"/>
    </xf>
    <xf numFmtId="0" fontId="3" fillId="0" borderId="0" xfId="0" applyFont="1" applyAlignment="1" applyProtection="1">
      <alignment horizontal="center" vertical="center" shrinkToFit="1"/>
      <protection/>
    </xf>
    <xf numFmtId="3" fontId="5" fillId="0" borderId="0" xfId="0" applyNumberFormat="1" applyFont="1" applyFill="1" applyBorder="1" applyAlignment="1" applyProtection="1">
      <alignment horizontal="center" vertical="center"/>
      <protection/>
    </xf>
    <xf numFmtId="1" fontId="2" fillId="0" borderId="0" xfId="0" applyNumberFormat="1" applyFont="1" applyFill="1" applyBorder="1" applyAlignment="1" applyProtection="1">
      <alignment horizontal="center" vertical="center"/>
      <protection/>
    </xf>
    <xf numFmtId="0" fontId="2" fillId="36" borderId="33" xfId="0" applyFont="1" applyFill="1" applyBorder="1" applyAlignment="1" applyProtection="1">
      <alignment horizontal="center" vertical="center"/>
      <protection hidden="1"/>
    </xf>
    <xf numFmtId="0" fontId="2" fillId="36" borderId="27" xfId="0" applyFont="1" applyFill="1" applyBorder="1" applyAlignment="1" applyProtection="1">
      <alignment horizontal="center" vertical="center"/>
      <protection hidden="1"/>
    </xf>
    <xf numFmtId="0" fontId="2" fillId="36" borderId="28" xfId="0" applyFont="1" applyFill="1" applyBorder="1" applyAlignment="1" applyProtection="1">
      <alignment horizontal="center" vertical="center"/>
      <protection hidden="1"/>
    </xf>
    <xf numFmtId="3" fontId="2" fillId="34" borderId="17" xfId="0" applyNumberFormat="1" applyFont="1" applyFill="1" applyBorder="1" applyAlignment="1" applyProtection="1">
      <alignment horizontal="right" vertical="center"/>
      <protection locked="0"/>
    </xf>
    <xf numFmtId="3" fontId="2" fillId="34" borderId="17" xfId="0" applyNumberFormat="1" applyFont="1" applyFill="1" applyBorder="1" applyAlignment="1" applyProtection="1">
      <alignment vertical="center"/>
      <protection hidden="1"/>
    </xf>
    <xf numFmtId="3" fontId="2" fillId="34" borderId="17" xfId="0" applyNumberFormat="1" applyFont="1" applyFill="1" applyBorder="1" applyAlignment="1" applyProtection="1">
      <alignment horizontal="center" vertical="center"/>
      <protection hidden="1"/>
    </xf>
    <xf numFmtId="0" fontId="15" fillId="34" borderId="17" xfId="0" applyFont="1" applyFill="1" applyBorder="1" applyAlignment="1" applyProtection="1">
      <alignment horizontal="center" vertical="center" shrinkToFit="1"/>
      <protection hidden="1"/>
    </xf>
    <xf numFmtId="0" fontId="15" fillId="34" borderId="17" xfId="0" applyFont="1" applyFill="1" applyBorder="1" applyAlignment="1" applyProtection="1">
      <alignment horizontal="center" vertical="center"/>
      <protection hidden="1"/>
    </xf>
    <xf numFmtId="0" fontId="12" fillId="34" borderId="17" xfId="0" applyFont="1" applyFill="1" applyBorder="1" applyAlignment="1" applyProtection="1">
      <alignment horizontal="left" vertical="center"/>
      <protection hidden="1"/>
    </xf>
    <xf numFmtId="0" fontId="13" fillId="34" borderId="17" xfId="0" applyFont="1" applyFill="1" applyBorder="1" applyAlignment="1" applyProtection="1">
      <alignment horizontal="center" vertical="center"/>
      <protection hidden="1"/>
    </xf>
    <xf numFmtId="0" fontId="15" fillId="34" borderId="17" xfId="0" applyFont="1" applyFill="1" applyBorder="1" applyAlignment="1" applyProtection="1">
      <alignment vertical="center"/>
      <protection hidden="1"/>
    </xf>
    <xf numFmtId="0" fontId="12" fillId="34" borderId="17" xfId="0" applyFont="1" applyFill="1" applyBorder="1" applyAlignment="1" applyProtection="1">
      <alignment horizontal="right" vertical="center"/>
      <protection hidden="1"/>
    </xf>
    <xf numFmtId="3" fontId="15" fillId="34" borderId="17" xfId="0" applyNumberFormat="1" applyFont="1" applyFill="1" applyBorder="1" applyAlignment="1" applyProtection="1">
      <alignment horizontal="right" vertical="center" shrinkToFit="1"/>
      <protection hidden="1"/>
    </xf>
    <xf numFmtId="3" fontId="2" fillId="34" borderId="0" xfId="0" applyNumberFormat="1" applyFont="1" applyFill="1" applyBorder="1" applyAlignment="1" applyProtection="1">
      <alignment horizontal="right" vertical="center" shrinkToFit="1"/>
      <protection hidden="1"/>
    </xf>
    <xf numFmtId="0" fontId="2" fillId="34" borderId="17"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2"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3" fillId="34" borderId="0" xfId="0" applyFont="1" applyFill="1" applyAlignment="1" applyProtection="1">
      <alignment horizontal="right" vertical="center" wrapText="1" shrinkToFit="1"/>
      <protection hidden="1"/>
    </xf>
    <xf numFmtId="3" fontId="2" fillId="35" borderId="11" xfId="0" applyNumberFormat="1" applyFont="1" applyFill="1" applyBorder="1" applyAlignment="1" applyProtection="1">
      <alignment horizontal="right" vertical="center"/>
      <protection hidden="1"/>
    </xf>
    <xf numFmtId="3" fontId="2" fillId="35" borderId="10" xfId="0" applyNumberFormat="1" applyFont="1" applyFill="1" applyBorder="1" applyAlignment="1" applyProtection="1">
      <alignment horizontal="left" vertical="center"/>
      <protection hidden="1"/>
    </xf>
    <xf numFmtId="3" fontId="2" fillId="35" borderId="41" xfId="0" applyNumberFormat="1" applyFont="1" applyFill="1" applyBorder="1" applyAlignment="1" applyProtection="1">
      <alignment horizontal="left" vertical="center"/>
      <protection hidden="1"/>
    </xf>
    <xf numFmtId="0" fontId="12" fillId="37" borderId="48" xfId="0" applyFont="1" applyFill="1" applyBorder="1" applyAlignment="1" applyProtection="1">
      <alignment horizontal="center" vertical="center" wrapText="1"/>
      <protection hidden="1"/>
    </xf>
    <xf numFmtId="0" fontId="7" fillId="33" borderId="49" xfId="0" applyFont="1" applyFill="1" applyBorder="1" applyAlignment="1" applyProtection="1">
      <alignment vertical="center" shrinkToFit="1"/>
      <protection locked="0"/>
    </xf>
    <xf numFmtId="0" fontId="7" fillId="33" borderId="31" xfId="0" applyFont="1" applyFill="1" applyBorder="1" applyAlignment="1" applyProtection="1">
      <alignment horizontal="right" vertical="center" wrapText="1"/>
      <protection locked="0"/>
    </xf>
    <xf numFmtId="0" fontId="7" fillId="37" borderId="31" xfId="0" applyFont="1" applyFill="1" applyBorder="1" applyAlignment="1" applyProtection="1">
      <alignment horizontal="center" vertical="center"/>
      <protection hidden="1"/>
    </xf>
    <xf numFmtId="0" fontId="7" fillId="33" borderId="31" xfId="0" applyFont="1" applyFill="1" applyBorder="1" applyAlignment="1" applyProtection="1">
      <alignment horizontal="left" vertical="center" wrapText="1"/>
      <protection locked="0"/>
    </xf>
    <xf numFmtId="0" fontId="7" fillId="37" borderId="48" xfId="0" applyFont="1" applyFill="1" applyBorder="1" applyAlignment="1" applyProtection="1">
      <alignment horizontal="right" vertical="center" wrapText="1"/>
      <protection hidden="1"/>
    </xf>
    <xf numFmtId="0" fontId="7" fillId="37" borderId="50" xfId="0" applyFont="1" applyFill="1" applyBorder="1" applyAlignment="1" applyProtection="1">
      <alignment horizontal="left" vertical="center" wrapText="1"/>
      <protection hidden="1"/>
    </xf>
    <xf numFmtId="0" fontId="4" fillId="33" borderId="48" xfId="0" applyFont="1" applyFill="1" applyBorder="1" applyAlignment="1" applyProtection="1">
      <alignment horizontal="right" vertical="center" wrapText="1"/>
      <protection locked="0"/>
    </xf>
    <xf numFmtId="0" fontId="4" fillId="33" borderId="31" xfId="0" applyFont="1" applyFill="1" applyBorder="1" applyAlignment="1" applyProtection="1">
      <alignment horizontal="left" vertical="center" wrapText="1"/>
      <protection locked="0"/>
    </xf>
    <xf numFmtId="0" fontId="4" fillId="33" borderId="51" xfId="0" applyFont="1" applyFill="1" applyBorder="1" applyAlignment="1" applyProtection="1">
      <alignment horizontal="right" vertical="center" wrapText="1"/>
      <protection locked="0"/>
    </xf>
    <xf numFmtId="0" fontId="7" fillId="33" borderId="48" xfId="0" applyFont="1" applyFill="1" applyBorder="1" applyAlignment="1" applyProtection="1">
      <alignment horizontal="right" vertical="center" wrapText="1"/>
      <protection locked="0"/>
    </xf>
    <xf numFmtId="49" fontId="7" fillId="37" borderId="31" xfId="0" applyNumberFormat="1" applyFont="1" applyFill="1" applyBorder="1" applyAlignment="1" applyProtection="1">
      <alignment horizontal="left" vertical="center"/>
      <protection hidden="1"/>
    </xf>
    <xf numFmtId="0" fontId="0" fillId="0" borderId="31" xfId="0" applyBorder="1" applyAlignment="1" applyProtection="1">
      <alignment/>
      <protection hidden="1"/>
    </xf>
    <xf numFmtId="0" fontId="7" fillId="37" borderId="41" xfId="0" applyFont="1" applyFill="1" applyBorder="1" applyAlignment="1" applyProtection="1">
      <alignment vertical="center"/>
      <protection hidden="1"/>
    </xf>
    <xf numFmtId="0" fontId="7" fillId="37" borderId="50" xfId="0" applyFont="1" applyFill="1" applyBorder="1" applyAlignment="1" applyProtection="1">
      <alignment vertical="center"/>
      <protection hidden="1"/>
    </xf>
    <xf numFmtId="0" fontId="6" fillId="34" borderId="0" xfId="0" applyFont="1" applyFill="1" applyBorder="1" applyAlignment="1" applyProtection="1">
      <alignment vertical="center"/>
      <protection hidden="1"/>
    </xf>
    <xf numFmtId="0" fontId="4" fillId="34" borderId="0" xfId="0" applyFont="1" applyFill="1" applyBorder="1" applyAlignment="1" applyProtection="1">
      <alignment vertical="center" wrapText="1"/>
      <protection locked="0"/>
    </xf>
    <xf numFmtId="0" fontId="4" fillId="34" borderId="0" xfId="0" applyFont="1" applyFill="1" applyBorder="1" applyAlignment="1" applyProtection="1">
      <alignment/>
      <protection hidden="1"/>
    </xf>
    <xf numFmtId="0" fontId="6" fillId="38" borderId="3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3" fillId="0" borderId="0" xfId="0" applyFont="1" applyAlignment="1" applyProtection="1">
      <alignment/>
      <protection/>
    </xf>
    <xf numFmtId="0" fontId="3" fillId="37" borderId="0" xfId="0" applyFont="1" applyFill="1" applyAlignment="1" applyProtection="1">
      <alignment horizontal="center" vertical="center" shrinkToFit="1"/>
      <protection/>
    </xf>
    <xf numFmtId="0" fontId="3" fillId="37" borderId="0" xfId="0" applyFont="1" applyFill="1" applyAlignment="1" applyProtection="1">
      <alignment horizontal="center" vertical="center"/>
      <protection/>
    </xf>
    <xf numFmtId="0" fontId="3" fillId="37" borderId="0" xfId="0" applyFont="1" applyFill="1" applyAlignment="1" applyProtection="1">
      <alignment horizontal="center" vertical="center" wrapText="1"/>
      <protection/>
    </xf>
    <xf numFmtId="3" fontId="3" fillId="37" borderId="0" xfId="0" applyNumberFormat="1" applyFont="1" applyFill="1" applyAlignment="1" applyProtection="1">
      <alignment horizontal="center" vertical="center"/>
      <protection/>
    </xf>
    <xf numFmtId="0" fontId="3" fillId="36" borderId="22"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wrapText="1"/>
      <protection hidden="1"/>
    </xf>
    <xf numFmtId="0" fontId="25" fillId="34" borderId="14"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2" fillId="34" borderId="52"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hidden="1" locked="0"/>
    </xf>
    <xf numFmtId="0" fontId="2" fillId="34" borderId="0" xfId="0" applyNumberFormat="1" applyFont="1" applyFill="1" applyBorder="1" applyAlignment="1" applyProtection="1">
      <alignment horizontal="center" vertical="center" shrinkToFit="1"/>
      <protection hidden="1"/>
    </xf>
    <xf numFmtId="0" fontId="2" fillId="36" borderId="52" xfId="0" applyFont="1" applyFill="1" applyBorder="1" applyAlignment="1" applyProtection="1">
      <alignment horizontal="center" vertical="center"/>
      <protection hidden="1"/>
    </xf>
    <xf numFmtId="0" fontId="2" fillId="36" borderId="22" xfId="0" applyFont="1" applyFill="1" applyBorder="1" applyAlignment="1" applyProtection="1">
      <alignment horizontal="center" vertical="center"/>
      <protection hidden="1"/>
    </xf>
    <xf numFmtId="0" fontId="2" fillId="36" borderId="15" xfId="0" applyFont="1" applyFill="1" applyBorder="1" applyAlignment="1" applyProtection="1">
      <alignment horizontal="center" vertical="center" shrinkToFit="1"/>
      <protection hidden="1"/>
    </xf>
    <xf numFmtId="0" fontId="2" fillId="36" borderId="12"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14" xfId="0" applyFont="1" applyFill="1" applyBorder="1" applyAlignment="1" applyProtection="1">
      <alignment horizontal="center" vertical="center"/>
      <protection hidden="1"/>
    </xf>
    <xf numFmtId="0" fontId="2" fillId="36" borderId="37" xfId="0" applyFont="1" applyFill="1" applyBorder="1" applyAlignment="1" applyProtection="1">
      <alignment horizontal="center" vertical="center"/>
      <protection hidden="1"/>
    </xf>
    <xf numFmtId="0" fontId="11" fillId="36" borderId="12" xfId="0" applyFont="1" applyFill="1" applyBorder="1" applyAlignment="1" applyProtection="1">
      <alignment horizontal="center" vertical="center"/>
      <protection hidden="1"/>
    </xf>
    <xf numFmtId="0" fontId="11" fillId="36" borderId="22" xfId="0" applyFont="1" applyFill="1" applyBorder="1" applyAlignment="1" applyProtection="1">
      <alignment horizontal="center" vertical="center"/>
      <protection hidden="1"/>
    </xf>
    <xf numFmtId="0" fontId="11" fillId="36" borderId="37" xfId="0" applyFont="1" applyFill="1" applyBorder="1" applyAlignment="1" applyProtection="1">
      <alignment horizontal="center" vertical="center"/>
      <protection hidden="1"/>
    </xf>
    <xf numFmtId="0" fontId="2" fillId="36" borderId="52"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protection/>
    </xf>
    <xf numFmtId="0" fontId="4" fillId="36" borderId="52" xfId="0" applyFont="1" applyFill="1" applyBorder="1" applyAlignment="1" applyProtection="1">
      <alignment horizontal="center" vertical="center" wrapText="1"/>
      <protection hidden="1"/>
    </xf>
    <xf numFmtId="0" fontId="26" fillId="36" borderId="22" xfId="0" applyFont="1" applyFill="1" applyBorder="1" applyAlignment="1" applyProtection="1">
      <alignment horizontal="center" vertical="center"/>
      <protection hidden="1"/>
    </xf>
    <xf numFmtId="0" fontId="4" fillId="33" borderId="29" xfId="0" applyFont="1" applyFill="1" applyBorder="1" applyAlignment="1" applyProtection="1">
      <alignment vertical="center" wrapText="1"/>
      <protection hidden="1" locked="0"/>
    </xf>
    <xf numFmtId="0" fontId="4" fillId="33" borderId="49" xfId="0" applyFont="1" applyFill="1" applyBorder="1" applyAlignment="1" applyProtection="1">
      <alignment vertical="center" wrapText="1"/>
      <protection hidden="1" locked="0"/>
    </xf>
    <xf numFmtId="0" fontId="0" fillId="34" borderId="22" xfId="0" applyFont="1" applyFill="1" applyBorder="1" applyAlignment="1" applyProtection="1">
      <alignment horizontal="right" vertical="center"/>
      <protection hidden="1"/>
    </xf>
    <xf numFmtId="0" fontId="27" fillId="36" borderId="16" xfId="36" applyFont="1" applyFill="1" applyBorder="1" applyAlignment="1" applyProtection="1">
      <alignment/>
      <protection hidden="1"/>
    </xf>
    <xf numFmtId="0" fontId="0" fillId="37" borderId="25" xfId="0" applyNumberFormat="1" applyFill="1" applyBorder="1" applyAlignment="1" applyProtection="1">
      <alignment horizontal="justify" vertical="top" wrapText="1" shrinkToFit="1"/>
      <protection hidden="1"/>
    </xf>
    <xf numFmtId="0" fontId="6" fillId="37" borderId="25" xfId="0" applyFont="1" applyFill="1" applyBorder="1" applyAlignment="1" applyProtection="1">
      <alignment horizontal="justify" vertical="top" wrapText="1" shrinkToFit="1"/>
      <protection hidden="1"/>
    </xf>
    <xf numFmtId="0" fontId="0" fillId="37" borderId="25"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protection/>
    </xf>
    <xf numFmtId="0" fontId="3" fillId="0" borderId="0" xfId="0" applyFont="1" applyFill="1" applyBorder="1" applyAlignment="1" applyProtection="1">
      <alignment vertical="center" wrapText="1" shrinkToFit="1"/>
      <protection/>
    </xf>
    <xf numFmtId="0" fontId="9" fillId="0" borderId="22" xfId="0" applyFont="1" applyFill="1" applyBorder="1" applyAlignment="1" applyProtection="1">
      <alignment horizontal="center" vertical="center"/>
      <protection hidden="1"/>
    </xf>
    <xf numFmtId="0" fontId="5" fillId="6" borderId="12" xfId="0" applyFont="1" applyFill="1" applyBorder="1" applyAlignment="1" applyProtection="1">
      <alignment vertical="center" shrinkToFit="1"/>
      <protection locked="0"/>
    </xf>
    <xf numFmtId="0" fontId="2" fillId="6" borderId="15" xfId="0" applyFont="1" applyFill="1" applyBorder="1" applyAlignment="1" applyProtection="1">
      <alignment horizontal="center" vertical="center" shrinkToFit="1"/>
      <protection hidden="1"/>
    </xf>
    <xf numFmtId="3" fontId="2" fillId="6" borderId="53" xfId="0" applyNumberFormat="1" applyFont="1" applyFill="1" applyBorder="1" applyAlignment="1" applyProtection="1">
      <alignment horizontal="right" vertical="center"/>
      <protection locked="0"/>
    </xf>
    <xf numFmtId="3" fontId="2" fillId="6" borderId="54" xfId="0" applyNumberFormat="1" applyFont="1" applyFill="1" applyBorder="1" applyAlignment="1" applyProtection="1">
      <alignment vertical="center"/>
      <protection hidden="1"/>
    </xf>
    <xf numFmtId="3" fontId="2" fillId="6" borderId="55" xfId="0" applyNumberFormat="1" applyFont="1" applyFill="1" applyBorder="1" applyAlignment="1" applyProtection="1">
      <alignment horizontal="center" vertical="center"/>
      <protection hidden="1"/>
    </xf>
    <xf numFmtId="0" fontId="2" fillId="6" borderId="42" xfId="0" applyFont="1" applyFill="1" applyBorder="1" applyAlignment="1" applyProtection="1">
      <alignment horizontal="center" vertical="center" shrinkToFit="1"/>
      <protection locked="0"/>
    </xf>
    <xf numFmtId="0" fontId="2" fillId="6" borderId="24" xfId="0" applyFont="1" applyFill="1" applyBorder="1" applyAlignment="1" applyProtection="1">
      <alignment horizontal="center" vertical="center" shrinkToFit="1"/>
      <protection locked="0"/>
    </xf>
    <xf numFmtId="0" fontId="2" fillId="6" borderId="56" xfId="0" applyFont="1" applyFill="1" applyBorder="1" applyAlignment="1" applyProtection="1">
      <alignment horizontal="center" vertical="center" shrinkToFit="1"/>
      <protection locked="0"/>
    </xf>
    <xf numFmtId="0" fontId="25" fillId="6" borderId="57" xfId="0" applyFont="1" applyFill="1" applyBorder="1" applyAlignment="1" applyProtection="1">
      <alignment horizontal="center" vertical="center" wrapText="1"/>
      <protection hidden="1"/>
    </xf>
    <xf numFmtId="0" fontId="9" fillId="6" borderId="15" xfId="0" applyFont="1" applyFill="1" applyBorder="1" applyAlignment="1" applyProtection="1">
      <alignment horizontal="center" vertical="center"/>
      <protection hidden="1"/>
    </xf>
    <xf numFmtId="0" fontId="2" fillId="6" borderId="16" xfId="0" applyFont="1" applyFill="1" applyBorder="1" applyAlignment="1" applyProtection="1">
      <alignment horizontal="center" vertical="center" shrinkToFit="1"/>
      <protection locked="0"/>
    </xf>
    <xf numFmtId="0" fontId="2" fillId="6" borderId="47" xfId="0" applyFont="1" applyFill="1" applyBorder="1" applyAlignment="1" applyProtection="1">
      <alignment horizontal="center" vertical="center" shrinkToFit="1"/>
      <protection locked="0"/>
    </xf>
    <xf numFmtId="0" fontId="2" fillId="6" borderId="22" xfId="0" applyFont="1" applyFill="1" applyBorder="1" applyAlignment="1" applyProtection="1">
      <alignment horizontal="center" vertical="center" shrinkToFit="1"/>
      <protection locked="0"/>
    </xf>
    <xf numFmtId="0" fontId="2" fillId="6" borderId="13" xfId="0" applyFont="1" applyFill="1" applyBorder="1" applyAlignment="1" applyProtection="1">
      <alignment horizontal="center" vertical="center" shrinkToFit="1"/>
      <protection locked="0"/>
    </xf>
    <xf numFmtId="0" fontId="2" fillId="6" borderId="58" xfId="0" applyFont="1" applyFill="1" applyBorder="1" applyAlignment="1" applyProtection="1">
      <alignment horizontal="center" vertical="center" shrinkToFit="1"/>
      <protection locked="0"/>
    </xf>
    <xf numFmtId="0" fontId="2" fillId="6" borderId="15" xfId="0" applyFont="1" applyFill="1" applyBorder="1" applyAlignment="1" applyProtection="1">
      <alignment horizontal="center" vertical="center" shrinkToFit="1"/>
      <protection locked="0"/>
    </xf>
    <xf numFmtId="165" fontId="4" fillId="6" borderId="28" xfId="0" applyNumberFormat="1" applyFont="1" applyFill="1" applyBorder="1" applyAlignment="1" applyProtection="1">
      <alignment horizontal="right" vertical="center" shrinkToFit="1"/>
      <protection locked="0"/>
    </xf>
    <xf numFmtId="0" fontId="4" fillId="6" borderId="52" xfId="0" applyNumberFormat="1" applyFont="1" applyFill="1" applyBorder="1" applyAlignment="1" applyProtection="1">
      <alignment horizontal="right" vertical="center" shrinkToFit="1"/>
      <protection locked="0"/>
    </xf>
    <xf numFmtId="0" fontId="3" fillId="12" borderId="20" xfId="0" applyNumberFormat="1" applyFont="1" applyFill="1" applyBorder="1" applyAlignment="1" applyProtection="1">
      <alignment horizontal="center" vertical="center" shrinkToFit="1"/>
      <protection locked="0"/>
    </xf>
    <xf numFmtId="0" fontId="3" fillId="12" borderId="45" xfId="0" applyNumberFormat="1" applyFont="1" applyFill="1" applyBorder="1" applyAlignment="1" applyProtection="1">
      <alignment horizontal="center" vertical="center" shrinkToFit="1"/>
      <protection locked="0"/>
    </xf>
    <xf numFmtId="0" fontId="3" fillId="12" borderId="47" xfId="0" applyNumberFormat="1" applyFont="1" applyFill="1" applyBorder="1" applyAlignment="1" applyProtection="1">
      <alignment horizontal="center" vertical="center" shrinkToFit="1"/>
      <protection locked="0"/>
    </xf>
    <xf numFmtId="0" fontId="3" fillId="12" borderId="36" xfId="0" applyNumberFormat="1" applyFont="1" applyFill="1" applyBorder="1" applyAlignment="1" applyProtection="1">
      <alignment horizontal="center" vertical="center" shrinkToFit="1"/>
      <protection locked="0"/>
    </xf>
    <xf numFmtId="0" fontId="3" fillId="12" borderId="12" xfId="0" applyNumberFormat="1" applyFont="1" applyFill="1" applyBorder="1" applyAlignment="1" applyProtection="1">
      <alignment horizontal="center" vertical="center" shrinkToFit="1"/>
      <protection locked="0"/>
    </xf>
    <xf numFmtId="0" fontId="3" fillId="12" borderId="57" xfId="0" applyNumberFormat="1" applyFont="1" applyFill="1" applyBorder="1" applyAlignment="1" applyProtection="1">
      <alignment horizontal="center" vertical="center" shrinkToFit="1"/>
      <protection locked="0"/>
    </xf>
    <xf numFmtId="0" fontId="3" fillId="12" borderId="13" xfId="0" applyNumberFormat="1" applyFont="1" applyFill="1" applyBorder="1" applyAlignment="1" applyProtection="1">
      <alignment horizontal="center" vertical="center" shrinkToFit="1"/>
      <protection locked="0"/>
    </xf>
    <xf numFmtId="0" fontId="3" fillId="12" borderId="37" xfId="0" applyNumberFormat="1" applyFont="1" applyFill="1" applyBorder="1" applyAlignment="1" applyProtection="1">
      <alignment horizontal="center" vertical="center" shrinkToFit="1"/>
      <protection locked="0"/>
    </xf>
    <xf numFmtId="0" fontId="3" fillId="12" borderId="16" xfId="0" applyFont="1" applyFill="1" applyBorder="1" applyAlignment="1" applyProtection="1">
      <alignment horizontal="center" vertical="center" shrinkToFit="1"/>
      <protection locked="0"/>
    </xf>
    <xf numFmtId="0" fontId="3" fillId="12" borderId="22" xfId="0" applyFont="1" applyFill="1" applyBorder="1" applyAlignment="1" applyProtection="1">
      <alignment horizontal="center" vertical="center" shrinkToFit="1"/>
      <protection locked="0"/>
    </xf>
    <xf numFmtId="0" fontId="10" fillId="39" borderId="28" xfId="0" applyFont="1" applyFill="1" applyBorder="1" applyAlignment="1" applyProtection="1">
      <alignment horizontal="center" vertical="center"/>
      <protection locked="0"/>
    </xf>
    <xf numFmtId="0" fontId="10" fillId="39" borderId="52" xfId="0" applyFont="1" applyFill="1" applyBorder="1" applyAlignment="1" applyProtection="1">
      <alignment horizontal="center" vertical="center"/>
      <protection locked="0"/>
    </xf>
    <xf numFmtId="0" fontId="2" fillId="39" borderId="52" xfId="0" applyFont="1" applyFill="1" applyBorder="1" applyAlignment="1" applyProtection="1">
      <alignment horizontal="center" vertical="center"/>
      <protection hidden="1" locked="0"/>
    </xf>
    <xf numFmtId="0" fontId="2" fillId="39" borderId="27" xfId="0" applyFont="1" applyFill="1" applyBorder="1" applyAlignment="1" applyProtection="1">
      <alignment horizontal="center" vertical="center"/>
      <protection hidden="1" locked="0"/>
    </xf>
    <xf numFmtId="0" fontId="4" fillId="40" borderId="52" xfId="0" applyNumberFormat="1" applyFont="1" applyFill="1" applyBorder="1" applyAlignment="1" applyProtection="1">
      <alignment horizontal="right" vertical="center" shrinkToFit="1"/>
      <protection locked="0"/>
    </xf>
    <xf numFmtId="0" fontId="2" fillId="40" borderId="52" xfId="0" applyNumberFormat="1" applyFont="1" applyFill="1" applyBorder="1" applyAlignment="1" applyProtection="1">
      <alignment horizontal="center" vertical="center" shrinkToFit="1"/>
      <protection locked="0"/>
    </xf>
    <xf numFmtId="0" fontId="5" fillId="4" borderId="0" xfId="0" applyFont="1" applyFill="1" applyBorder="1" applyAlignment="1" applyProtection="1">
      <alignment vertical="center"/>
      <protection/>
    </xf>
    <xf numFmtId="0" fontId="3" fillId="4" borderId="0" xfId="0" applyFont="1" applyFill="1" applyAlignment="1" applyProtection="1">
      <alignment vertical="center" shrinkToFit="1"/>
      <protection/>
    </xf>
    <xf numFmtId="0" fontId="5" fillId="4" borderId="0" xfId="0" applyFont="1" applyFill="1" applyBorder="1" applyAlignment="1" applyProtection="1">
      <alignment horizontal="left" vertical="center"/>
      <protection/>
    </xf>
    <xf numFmtId="0" fontId="3" fillId="4" borderId="0" xfId="0" applyFont="1" applyFill="1" applyBorder="1" applyAlignment="1" applyProtection="1">
      <alignment vertical="center" shrinkToFit="1"/>
      <protection/>
    </xf>
    <xf numFmtId="3" fontId="65" fillId="0" borderId="0" xfId="0" applyNumberFormat="1" applyFont="1" applyAlignment="1" applyProtection="1">
      <alignment horizontal="center" vertical="center"/>
      <protection/>
    </xf>
    <xf numFmtId="3" fontId="2" fillId="4" borderId="0" xfId="0" applyNumberFormat="1" applyFont="1" applyFill="1" applyBorder="1" applyAlignment="1" applyProtection="1">
      <alignment horizontal="center" vertical="center"/>
      <protection/>
    </xf>
    <xf numFmtId="3" fontId="2" fillId="4" borderId="0" xfId="0" applyNumberFormat="1" applyFont="1" applyFill="1" applyAlignment="1" applyProtection="1">
      <alignment horizontal="center" vertical="center"/>
      <protection/>
    </xf>
    <xf numFmtId="3" fontId="2" fillId="7" borderId="0" xfId="0" applyNumberFormat="1" applyFont="1" applyFill="1" applyBorder="1" applyAlignment="1" applyProtection="1">
      <alignment horizontal="center" vertical="center"/>
      <protection/>
    </xf>
    <xf numFmtId="0" fontId="5" fillId="7" borderId="0" xfId="0" applyFont="1" applyFill="1" applyBorder="1" applyAlignment="1" applyProtection="1">
      <alignment vertical="center"/>
      <protection/>
    </xf>
    <xf numFmtId="0" fontId="3" fillId="7" borderId="0" xfId="0" applyFont="1" applyFill="1" applyAlignment="1" applyProtection="1">
      <alignment vertical="center" shrinkToFit="1"/>
      <protection/>
    </xf>
    <xf numFmtId="0" fontId="3" fillId="2" borderId="0" xfId="0" applyFont="1" applyFill="1" applyAlignment="1" applyProtection="1">
      <alignment vertical="center" shrinkToFit="1"/>
      <protection/>
    </xf>
    <xf numFmtId="0" fontId="3" fillId="7" borderId="0" xfId="0" applyFont="1" applyFill="1" applyBorder="1" applyAlignment="1" applyProtection="1">
      <alignment vertical="center" shrinkToFit="1"/>
      <protection/>
    </xf>
    <xf numFmtId="0" fontId="66" fillId="0" borderId="0" xfId="0" applyFont="1" applyAlignment="1" applyProtection="1">
      <alignment/>
      <protection/>
    </xf>
    <xf numFmtId="0" fontId="3" fillId="4" borderId="0" xfId="0" applyFont="1" applyFill="1" applyAlignment="1" applyProtection="1">
      <alignment horizontal="center" vertical="center"/>
      <protection/>
    </xf>
    <xf numFmtId="0" fontId="3" fillId="4" borderId="0" xfId="0" applyFont="1" applyFill="1" applyAlignment="1" applyProtection="1">
      <alignment vertical="center" wrapText="1"/>
      <protection/>
    </xf>
    <xf numFmtId="3" fontId="3" fillId="4" borderId="0" xfId="0" applyNumberFormat="1" applyFont="1" applyFill="1" applyAlignment="1" applyProtection="1">
      <alignment horizontal="center" vertical="center"/>
      <protection/>
    </xf>
    <xf numFmtId="0" fontId="65" fillId="4" borderId="0" xfId="0" applyFont="1" applyFill="1" applyAlignment="1" applyProtection="1">
      <alignment vertical="center" shrinkToFit="1"/>
      <protection/>
    </xf>
    <xf numFmtId="0" fontId="3" fillId="4" borderId="0" xfId="0" applyFont="1" applyFill="1" applyBorder="1" applyAlignment="1" applyProtection="1">
      <alignment horizontal="center" vertical="center"/>
      <protection/>
    </xf>
    <xf numFmtId="0" fontId="3" fillId="4" borderId="0" xfId="0" applyFont="1" applyFill="1" applyBorder="1" applyAlignment="1" applyProtection="1">
      <alignment vertical="center" wrapText="1"/>
      <protection/>
    </xf>
    <xf numFmtId="3" fontId="3" fillId="4" borderId="0" xfId="0" applyNumberFormat="1" applyFont="1" applyFill="1" applyBorder="1" applyAlignment="1" applyProtection="1">
      <alignment horizontal="center" vertical="center"/>
      <protection/>
    </xf>
    <xf numFmtId="0" fontId="3" fillId="2" borderId="0" xfId="0" applyFont="1" applyFill="1" applyBorder="1" applyAlignment="1" applyProtection="1">
      <alignment vertical="center" shrinkToFit="1"/>
      <protection/>
    </xf>
    <xf numFmtId="0" fontId="0" fillId="37" borderId="25" xfId="0" applyFont="1" applyFill="1" applyBorder="1" applyAlignment="1" applyProtection="1">
      <alignment horizontal="justify" vertical="top" wrapText="1" shrinkToFit="1"/>
      <protection hidden="1"/>
    </xf>
    <xf numFmtId="0" fontId="5" fillId="30" borderId="0" xfId="0" applyFont="1" applyFill="1" applyBorder="1" applyAlignment="1" applyProtection="1">
      <alignment horizontal="left" vertical="center"/>
      <protection/>
    </xf>
    <xf numFmtId="0" fontId="3" fillId="30" borderId="0" xfId="0" applyFont="1" applyFill="1" applyBorder="1" applyAlignment="1" applyProtection="1">
      <alignment vertical="center" shrinkToFit="1"/>
      <protection/>
    </xf>
    <xf numFmtId="0" fontId="3" fillId="30" borderId="0" xfId="0" applyFont="1" applyFill="1" applyAlignment="1" applyProtection="1">
      <alignment vertical="center" shrinkToFit="1"/>
      <protection/>
    </xf>
    <xf numFmtId="3" fontId="2" fillId="30" borderId="0" xfId="0" applyNumberFormat="1" applyFont="1" applyFill="1" applyBorder="1" applyAlignment="1" applyProtection="1">
      <alignment horizontal="center" vertical="center"/>
      <protection/>
    </xf>
    <xf numFmtId="0" fontId="5" fillId="5" borderId="0" xfId="0" applyFont="1" applyFill="1" applyBorder="1" applyAlignment="1" applyProtection="1">
      <alignment horizontal="left" vertical="center"/>
      <protection/>
    </xf>
    <xf numFmtId="0" fontId="3" fillId="5" borderId="0" xfId="0" applyFont="1" applyFill="1" applyBorder="1" applyAlignment="1" applyProtection="1">
      <alignment vertical="center" shrinkToFit="1"/>
      <protection/>
    </xf>
    <xf numFmtId="0" fontId="3" fillId="5" borderId="0" xfId="0" applyFont="1" applyFill="1" applyAlignment="1" applyProtection="1">
      <alignment vertical="center" shrinkToFit="1"/>
      <protection/>
    </xf>
    <xf numFmtId="3" fontId="2" fillId="5" borderId="0" xfId="0" applyNumberFormat="1" applyFont="1" applyFill="1" applyBorder="1" applyAlignment="1" applyProtection="1">
      <alignment horizontal="center" vertical="center"/>
      <protection/>
    </xf>
    <xf numFmtId="0" fontId="65" fillId="5" borderId="0" xfId="0" applyFont="1" applyFill="1" applyAlignment="1" applyProtection="1">
      <alignment vertical="center" shrinkToFit="1"/>
      <protection/>
    </xf>
    <xf numFmtId="0" fontId="3" fillId="5" borderId="0" xfId="0" applyFont="1" applyFill="1" applyAlignment="1" applyProtection="1">
      <alignment horizontal="center" vertical="center"/>
      <protection/>
    </xf>
    <xf numFmtId="0" fontId="3" fillId="5" borderId="0" xfId="0" applyFont="1" applyFill="1" applyAlignment="1" applyProtection="1">
      <alignment vertical="center" wrapText="1"/>
      <protection/>
    </xf>
    <xf numFmtId="3" fontId="3" fillId="5" borderId="0" xfId="0" applyNumberFormat="1" applyFont="1" applyFill="1" applyAlignment="1" applyProtection="1">
      <alignment horizontal="center" vertical="center"/>
      <protection/>
    </xf>
    <xf numFmtId="0" fontId="65" fillId="5" borderId="0" xfId="0" applyFont="1" applyFill="1" applyBorder="1" applyAlignment="1" applyProtection="1">
      <alignment vertical="center" shrinkToFit="1"/>
      <protection/>
    </xf>
    <xf numFmtId="0" fontId="3" fillId="5" borderId="0" xfId="0" applyFont="1" applyFill="1" applyBorder="1" applyAlignment="1" applyProtection="1">
      <alignment horizontal="center" vertical="center"/>
      <protection/>
    </xf>
    <xf numFmtId="0" fontId="3" fillId="5" borderId="0" xfId="0" applyFont="1" applyFill="1" applyBorder="1" applyAlignment="1" applyProtection="1">
      <alignment vertical="center" wrapText="1"/>
      <protection/>
    </xf>
    <xf numFmtId="3" fontId="3" fillId="5" borderId="0" xfId="0" applyNumberFormat="1" applyFont="1" applyFill="1" applyBorder="1" applyAlignment="1" applyProtection="1">
      <alignment horizontal="center" vertical="center"/>
      <protection/>
    </xf>
    <xf numFmtId="0" fontId="65" fillId="0" borderId="0" xfId="0" applyFont="1" applyAlignment="1" applyProtection="1">
      <alignment horizontal="center" vertical="center" shrinkToFit="1"/>
      <protection/>
    </xf>
    <xf numFmtId="0" fontId="3" fillId="4" borderId="0" xfId="0" applyFont="1" applyFill="1" applyAlignment="1" applyProtection="1" quotePrefix="1">
      <alignment vertical="center" shrinkToFit="1"/>
      <protection/>
    </xf>
    <xf numFmtId="0" fontId="3" fillId="41" borderId="0" xfId="0" applyFont="1" applyFill="1" applyAlignment="1" applyProtection="1">
      <alignment vertical="center" shrinkToFit="1"/>
      <protection/>
    </xf>
    <xf numFmtId="0" fontId="3" fillId="41" borderId="0" xfId="0" applyFont="1" applyFill="1" applyAlignment="1" applyProtection="1">
      <alignment horizontal="center" vertical="center"/>
      <protection/>
    </xf>
    <xf numFmtId="0" fontId="3" fillId="41" borderId="0" xfId="0" applyFont="1" applyFill="1" applyAlignment="1" applyProtection="1">
      <alignment vertical="center" wrapText="1"/>
      <protection/>
    </xf>
    <xf numFmtId="3" fontId="3" fillId="41" borderId="0" xfId="0" applyNumberFormat="1" applyFont="1" applyFill="1" applyAlignment="1" applyProtection="1">
      <alignment horizontal="center" vertical="center"/>
      <protection/>
    </xf>
    <xf numFmtId="0" fontId="65" fillId="41" borderId="0" xfId="0" applyFont="1" applyFill="1" applyAlignment="1" applyProtection="1">
      <alignment vertical="center" shrinkToFit="1"/>
      <protection/>
    </xf>
    <xf numFmtId="0" fontId="65" fillId="41" borderId="0" xfId="0" applyFont="1" applyFill="1" applyBorder="1" applyAlignment="1" applyProtection="1">
      <alignment vertical="center" shrinkToFit="1"/>
      <protection/>
    </xf>
    <xf numFmtId="0" fontId="3" fillId="41" borderId="0" xfId="0" applyFont="1" applyFill="1" applyBorder="1" applyAlignment="1" applyProtection="1">
      <alignment horizontal="center" vertical="center"/>
      <protection/>
    </xf>
    <xf numFmtId="0" fontId="3" fillId="41" borderId="0" xfId="0" applyFont="1" applyFill="1" applyBorder="1" applyAlignment="1" applyProtection="1">
      <alignment vertical="center" wrapText="1"/>
      <protection/>
    </xf>
    <xf numFmtId="3" fontId="3" fillId="41" borderId="0" xfId="0" applyNumberFormat="1" applyFont="1" applyFill="1" applyBorder="1" applyAlignment="1" applyProtection="1">
      <alignment horizontal="center" vertical="center"/>
      <protection/>
    </xf>
    <xf numFmtId="0" fontId="3" fillId="41" borderId="0" xfId="0" applyFont="1" applyFill="1" applyBorder="1" applyAlignment="1" applyProtection="1">
      <alignment vertical="center" shrinkToFit="1"/>
      <protection/>
    </xf>
    <xf numFmtId="0" fontId="65" fillId="4" borderId="0" xfId="0" applyFont="1" applyFill="1" applyBorder="1" applyAlignment="1" applyProtection="1">
      <alignment vertical="center" shrinkToFit="1"/>
      <protection/>
    </xf>
    <xf numFmtId="49" fontId="3" fillId="4" borderId="0" xfId="0" applyNumberFormat="1" applyFont="1" applyFill="1" applyAlignment="1" applyProtection="1">
      <alignment horizontal="center" vertical="center"/>
      <protection/>
    </xf>
    <xf numFmtId="0" fontId="3" fillId="4" borderId="0" xfId="0" applyFont="1" applyFill="1" applyAlignment="1" applyProtection="1">
      <alignment vertical="center" wrapText="1" shrinkToFit="1"/>
      <protection/>
    </xf>
    <xf numFmtId="0" fontId="65" fillId="4" borderId="0" xfId="0" applyFont="1" applyFill="1" applyAlignment="1" applyProtection="1" quotePrefix="1">
      <alignment vertical="center" shrinkToFit="1"/>
      <protection/>
    </xf>
    <xf numFmtId="0" fontId="2" fillId="36" borderId="53" xfId="0" applyFont="1" applyFill="1" applyBorder="1" applyAlignment="1" applyProtection="1">
      <alignment horizontal="center" vertical="center"/>
      <protection hidden="1"/>
    </xf>
    <xf numFmtId="0" fontId="2" fillId="36" borderId="54" xfId="0" applyFont="1" applyFill="1" applyBorder="1" applyAlignment="1" applyProtection="1">
      <alignment horizontal="center" vertical="center"/>
      <protection hidden="1"/>
    </xf>
    <xf numFmtId="0" fontId="2" fillId="36" borderId="55" xfId="0" applyFont="1" applyFill="1" applyBorder="1" applyAlignment="1" applyProtection="1">
      <alignment horizontal="center" vertical="center"/>
      <protection hidden="1"/>
    </xf>
    <xf numFmtId="0" fontId="2" fillId="36" borderId="11" xfId="0" applyFont="1" applyFill="1" applyBorder="1" applyAlignment="1" applyProtection="1">
      <alignment horizontal="center" vertical="center"/>
      <protection hidden="1"/>
    </xf>
    <xf numFmtId="0" fontId="2" fillId="36" borderId="10" xfId="0" applyFont="1" applyFill="1" applyBorder="1" applyAlignment="1" applyProtection="1">
      <alignment horizontal="center" vertical="center"/>
      <protection hidden="1"/>
    </xf>
    <xf numFmtId="0" fontId="3" fillId="36" borderId="12" xfId="0" applyFont="1" applyFill="1" applyBorder="1" applyAlignment="1" applyProtection="1">
      <alignment horizontal="center" vertical="center"/>
      <protection hidden="1"/>
    </xf>
    <xf numFmtId="0" fontId="3" fillId="36" borderId="22" xfId="0" applyFont="1" applyFill="1" applyBorder="1" applyAlignment="1" applyProtection="1">
      <alignment horizontal="center" vertical="center"/>
      <protection hidden="1"/>
    </xf>
    <xf numFmtId="0" fontId="4" fillId="36" borderId="22" xfId="0" applyFont="1" applyFill="1" applyBorder="1" applyAlignment="1" applyProtection="1">
      <alignment horizontal="center" vertical="center" shrinkToFit="1"/>
      <protection hidden="1"/>
    </xf>
    <xf numFmtId="0" fontId="4" fillId="36" borderId="37" xfId="0" applyFont="1" applyFill="1" applyBorder="1" applyAlignment="1" applyProtection="1">
      <alignment horizontal="center" vertical="center" shrinkToFit="1"/>
      <protection hidden="1"/>
    </xf>
    <xf numFmtId="0" fontId="5" fillId="6" borderId="59" xfId="0" applyFont="1" applyFill="1" applyBorder="1" applyAlignment="1" applyProtection="1">
      <alignment vertical="center" wrapText="1" shrinkToFit="1"/>
      <protection locked="0"/>
    </xf>
    <xf numFmtId="0" fontId="0" fillId="6" borderId="60" xfId="0" applyFill="1" applyBorder="1" applyAlignment="1" applyProtection="1">
      <alignment vertical="center" wrapText="1" shrinkToFit="1"/>
      <protection locked="0"/>
    </xf>
    <xf numFmtId="0" fontId="0" fillId="6" borderId="21" xfId="0" applyFill="1" applyBorder="1" applyAlignment="1" applyProtection="1">
      <alignment vertical="center" wrapText="1" shrinkToFit="1"/>
      <protection locked="0"/>
    </xf>
    <xf numFmtId="0" fontId="0" fillId="6" borderId="61" xfId="0" applyFill="1" applyBorder="1" applyAlignment="1" applyProtection="1">
      <alignment vertical="center" wrapText="1" shrinkToFit="1"/>
      <protection locked="0"/>
    </xf>
    <xf numFmtId="0" fontId="0" fillId="6" borderId="20" xfId="0" applyFill="1" applyBorder="1" applyAlignment="1" applyProtection="1">
      <alignment vertical="center" wrapText="1" shrinkToFit="1"/>
      <protection locked="0"/>
    </xf>
    <xf numFmtId="0" fontId="0" fillId="6" borderId="36" xfId="0" applyFill="1" applyBorder="1" applyAlignment="1" applyProtection="1">
      <alignment vertical="center" wrapText="1" shrinkToFit="1"/>
      <protection locked="0"/>
    </xf>
    <xf numFmtId="0" fontId="2" fillId="36" borderId="22" xfId="0" applyFont="1" applyFill="1" applyBorder="1" applyAlignment="1" applyProtection="1">
      <alignment vertical="center" shrinkToFit="1"/>
      <protection hidden="1"/>
    </xf>
    <xf numFmtId="0" fontId="2" fillId="6" borderId="11" xfId="0" applyFont="1" applyFill="1" applyBorder="1" applyAlignment="1" applyProtection="1">
      <alignment horizontal="left" vertical="center"/>
      <protection locked="0"/>
    </xf>
    <xf numFmtId="0" fontId="2" fillId="6" borderId="10" xfId="0" applyFont="1" applyFill="1" applyBorder="1" applyAlignment="1" applyProtection="1">
      <alignment horizontal="left" vertical="center"/>
      <protection locked="0"/>
    </xf>
    <xf numFmtId="0" fontId="2" fillId="6" borderId="41" xfId="0" applyFont="1" applyFill="1" applyBorder="1" applyAlignment="1" applyProtection="1">
      <alignment horizontal="left" vertical="center"/>
      <protection locked="0"/>
    </xf>
    <xf numFmtId="0" fontId="2" fillId="36" borderId="48" xfId="0" applyFont="1" applyFill="1" applyBorder="1" applyAlignment="1" applyProtection="1">
      <alignment horizontal="center" vertical="center"/>
      <protection hidden="1"/>
    </xf>
    <xf numFmtId="0" fontId="2" fillId="36" borderId="31" xfId="0" applyFont="1" applyFill="1" applyBorder="1" applyAlignment="1" applyProtection="1">
      <alignment horizontal="center" vertical="center"/>
      <protection hidden="1"/>
    </xf>
    <xf numFmtId="0" fontId="6" fillId="6" borderId="23"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protection locked="0"/>
    </xf>
    <xf numFmtId="0" fontId="6" fillId="6" borderId="34" xfId="0" applyFont="1" applyFill="1" applyBorder="1" applyAlignment="1" applyProtection="1">
      <alignment horizontal="center" vertical="center"/>
      <protection locked="0"/>
    </xf>
    <xf numFmtId="3" fontId="4" fillId="36" borderId="18" xfId="0" applyNumberFormat="1" applyFont="1" applyFill="1" applyBorder="1" applyAlignment="1" applyProtection="1">
      <alignment horizontal="right" vertical="center"/>
      <protection hidden="1"/>
    </xf>
    <xf numFmtId="3" fontId="4" fillId="36" borderId="10" xfId="0" applyNumberFormat="1" applyFont="1" applyFill="1" applyBorder="1" applyAlignment="1" applyProtection="1">
      <alignment horizontal="right" vertical="center"/>
      <protection hidden="1"/>
    </xf>
    <xf numFmtId="0" fontId="2" fillId="36" borderId="18" xfId="0" applyFont="1" applyFill="1" applyBorder="1" applyAlignment="1" applyProtection="1">
      <alignment horizontal="center" vertical="center" shrinkToFit="1"/>
      <protection hidden="1"/>
    </xf>
    <xf numFmtId="0" fontId="2" fillId="36" borderId="62" xfId="0" applyFont="1" applyFill="1" applyBorder="1" applyAlignment="1" applyProtection="1">
      <alignment horizontal="center" vertical="center" shrinkToFit="1"/>
      <protection hidden="1"/>
    </xf>
    <xf numFmtId="0" fontId="24" fillId="36" borderId="12" xfId="0" applyNumberFormat="1" applyFont="1" applyFill="1" applyBorder="1" applyAlignment="1" applyProtection="1">
      <alignment horizontal="center" vertical="center" wrapText="1"/>
      <protection hidden="1"/>
    </xf>
    <xf numFmtId="0" fontId="24" fillId="36" borderId="22" xfId="0" applyNumberFormat="1" applyFont="1" applyFill="1" applyBorder="1" applyAlignment="1" applyProtection="1">
      <alignment horizontal="center" vertical="center" wrapText="1"/>
      <protection hidden="1"/>
    </xf>
    <xf numFmtId="0" fontId="24" fillId="36" borderId="37" xfId="0" applyNumberFormat="1" applyFont="1" applyFill="1" applyBorder="1" applyAlignment="1" applyProtection="1">
      <alignment horizontal="center" vertical="center" wrapText="1"/>
      <protection hidden="1"/>
    </xf>
    <xf numFmtId="0" fontId="2" fillId="36" borderId="10" xfId="0" applyFont="1" applyFill="1" applyBorder="1" applyAlignment="1" applyProtection="1">
      <alignment horizontal="center" vertical="center" shrinkToFit="1"/>
      <protection hidden="1"/>
    </xf>
    <xf numFmtId="0" fontId="2" fillId="36" borderId="63" xfId="0" applyFont="1" applyFill="1" applyBorder="1" applyAlignment="1" applyProtection="1">
      <alignment horizontal="center" vertical="center" shrinkToFit="1"/>
      <protection hidden="1"/>
    </xf>
    <xf numFmtId="0" fontId="2" fillId="36" borderId="54" xfId="0" applyFont="1" applyFill="1" applyBorder="1" applyAlignment="1" applyProtection="1">
      <alignment horizontal="center" vertical="center" shrinkToFit="1"/>
      <protection hidden="1"/>
    </xf>
    <xf numFmtId="0" fontId="15" fillId="36" borderId="22" xfId="0" applyFont="1" applyFill="1" applyBorder="1" applyAlignment="1" applyProtection="1">
      <alignment horizontal="center" vertical="center" shrinkToFit="1"/>
      <protection hidden="1"/>
    </xf>
    <xf numFmtId="0" fontId="7" fillId="37" borderId="10" xfId="0" applyFont="1" applyFill="1" applyBorder="1" applyAlignment="1" applyProtection="1">
      <alignment horizontal="center" vertical="center" wrapText="1"/>
      <protection hidden="1"/>
    </xf>
    <xf numFmtId="0" fontId="7" fillId="37" borderId="41" xfId="0" applyFont="1" applyFill="1" applyBorder="1" applyAlignment="1" applyProtection="1">
      <alignment horizontal="center" vertical="center" wrapText="1"/>
      <protection hidden="1"/>
    </xf>
    <xf numFmtId="0" fontId="6" fillId="38" borderId="23" xfId="0" applyFont="1" applyFill="1" applyBorder="1" applyAlignment="1" applyProtection="1">
      <alignment horizontal="center" vertical="center"/>
      <protection hidden="1"/>
    </xf>
    <xf numFmtId="0" fontId="6" fillId="38" borderId="34" xfId="0" applyFont="1" applyFill="1" applyBorder="1" applyAlignment="1" applyProtection="1">
      <alignment horizontal="center" vertical="center"/>
      <protection hidden="1"/>
    </xf>
    <xf numFmtId="0" fontId="6" fillId="38" borderId="18" xfId="0" applyFont="1" applyFill="1" applyBorder="1" applyAlignment="1" applyProtection="1">
      <alignment horizontal="center" vertical="center"/>
      <protection hidden="1"/>
    </xf>
    <xf numFmtId="0" fontId="7" fillId="37" borderId="31" xfId="0" applyFont="1" applyFill="1" applyBorder="1" applyAlignment="1" applyProtection="1">
      <alignment horizontal="center" vertical="center" wrapText="1"/>
      <protection hidden="1"/>
    </xf>
    <xf numFmtId="0" fontId="7" fillId="37" borderId="50" xfId="0" applyFont="1" applyFill="1" applyBorder="1" applyAlignment="1" applyProtection="1">
      <alignment horizontal="center" vertical="center" wrapText="1"/>
      <protection hidden="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7">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55"/>
      </font>
      <fill>
        <patternFill>
          <bgColor indexed="55"/>
        </patternFill>
      </fill>
      <border>
        <left/>
        <right/>
      </border>
    </dxf>
    <dxf>
      <font>
        <color indexed="55"/>
      </font>
    </dxf>
    <dxf>
      <font>
        <color indexed="16"/>
      </font>
    </dxf>
    <dxf>
      <font>
        <color indexed="22"/>
      </font>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161925</xdr:colOff>
      <xdr:row>20</xdr:row>
      <xdr:rowOff>28575</xdr:rowOff>
    </xdr:from>
    <xdr:to>
      <xdr:col>28</xdr:col>
      <xdr:colOff>38100</xdr:colOff>
      <xdr:row>20</xdr:row>
      <xdr:rowOff>190500</xdr:rowOff>
    </xdr:to>
    <xdr:pic>
      <xdr:nvPicPr>
        <xdr:cNvPr id="1" name="CheckBox1"/>
        <xdr:cNvPicPr preferRelativeResize="1">
          <a:picLocks noChangeAspect="1"/>
        </xdr:cNvPicPr>
      </xdr:nvPicPr>
      <xdr:blipFill>
        <a:blip r:embed="rId1"/>
        <a:stretch>
          <a:fillRect/>
        </a:stretch>
      </xdr:blipFill>
      <xdr:spPr>
        <a:xfrm>
          <a:off x="11182350" y="4514850"/>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A1:GO290"/>
  <sheetViews>
    <sheetView tabSelected="1" zoomScale="90" zoomScaleNormal="90" workbookViewId="0" topLeftCell="A1">
      <selection activeCell="AD20" sqref="AD20"/>
    </sheetView>
  </sheetViews>
  <sheetFormatPr defaultColWidth="0" defaultRowHeight="0" customHeight="1" zeroHeight="1"/>
  <cols>
    <col min="1" max="1" width="1.8515625" style="28" customWidth="1"/>
    <col min="2" max="2" width="3.140625" style="28" customWidth="1"/>
    <col min="3" max="3" width="19.28125" style="28" customWidth="1"/>
    <col min="4" max="4" width="21.28125" style="48" customWidth="1"/>
    <col min="5" max="8" width="3.00390625" style="28" customWidth="1"/>
    <col min="9" max="9" width="30.8515625" style="28" customWidth="1"/>
    <col min="10" max="10" width="27.28125" style="28" customWidth="1"/>
    <col min="11" max="11" width="1.8515625" style="28" customWidth="1"/>
    <col min="12" max="15" width="2.421875" style="28" customWidth="1"/>
    <col min="16" max="19" width="2.140625" style="49" customWidth="1"/>
    <col min="20" max="23" width="3.28125" style="28" customWidth="1"/>
    <col min="24" max="24" width="2.421875" style="28" customWidth="1"/>
    <col min="25" max="25" width="3.28125" style="28" customWidth="1"/>
    <col min="26" max="26" width="4.00390625" style="28" customWidth="1"/>
    <col min="27" max="27" width="6.57421875" style="28" customWidth="1"/>
    <col min="28" max="29" width="4.140625" style="28" customWidth="1"/>
    <col min="30" max="36" width="15.7109375" style="147" customWidth="1"/>
    <col min="37" max="37" width="2.00390625" style="58" customWidth="1"/>
    <col min="38" max="38" width="6.7109375" style="240" hidden="1" customWidth="1"/>
    <col min="39" max="43" width="6.7109375" style="239" hidden="1" customWidth="1"/>
    <col min="44" max="44" width="10.7109375" style="236" hidden="1" customWidth="1"/>
    <col min="45" max="45" width="14.00390625" style="28" hidden="1" customWidth="1"/>
    <col min="46" max="46" width="12.140625" style="28" hidden="1" customWidth="1"/>
    <col min="47" max="47" width="13.8515625" style="28" hidden="1" customWidth="1"/>
    <col min="48" max="48" width="12.7109375" style="28" hidden="1" customWidth="1"/>
    <col min="49" max="49" width="18.28125" style="28" hidden="1" customWidth="1"/>
    <col min="50" max="50" width="17.00390625" style="28" hidden="1" customWidth="1"/>
    <col min="51" max="51" width="10.7109375" style="44" hidden="1" customWidth="1"/>
    <col min="52" max="52" width="14.8515625" style="33" hidden="1" customWidth="1"/>
    <col min="53" max="56" width="3.7109375" style="38" hidden="1" customWidth="1"/>
    <col min="57" max="57" width="29.8515625" style="40" hidden="1" customWidth="1"/>
    <col min="58" max="58" width="10.7109375" style="37" hidden="1" customWidth="1"/>
    <col min="59" max="59" width="13.851562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421875" style="43" hidden="1" customWidth="1"/>
    <col min="75" max="75" width="15.851562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ustomWidth="1"/>
  </cols>
  <sheetData>
    <row r="1" spans="1:137" ht="8.25" customHeight="1" thickBot="1">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337</v>
      </c>
      <c r="BA1" s="22" t="s">
        <v>0</v>
      </c>
      <c r="BB1" s="22" t="s">
        <v>1</v>
      </c>
      <c r="BC1" s="22" t="s">
        <v>2</v>
      </c>
      <c r="BD1" s="22" t="s">
        <v>3</v>
      </c>
      <c r="BE1" s="39" t="s">
        <v>338</v>
      </c>
      <c r="BF1" s="23" t="s">
        <v>339</v>
      </c>
      <c r="BG1" s="23" t="s">
        <v>340</v>
      </c>
      <c r="BH1" s="23" t="s">
        <v>517</v>
      </c>
      <c r="BI1" s="23" t="s">
        <v>452</v>
      </c>
      <c r="BJ1" s="23" t="s">
        <v>453</v>
      </c>
      <c r="BK1" s="23" t="s">
        <v>454</v>
      </c>
      <c r="BL1" s="23" t="s">
        <v>455</v>
      </c>
      <c r="BM1" s="23" t="s">
        <v>425</v>
      </c>
      <c r="BN1" s="23"/>
      <c r="BO1" s="24"/>
      <c r="BP1" s="25" t="s">
        <v>341</v>
      </c>
      <c r="BQ1" s="23" t="s">
        <v>342</v>
      </c>
      <c r="BR1" s="23" t="s">
        <v>343</v>
      </c>
      <c r="BS1" s="23" t="s">
        <v>445</v>
      </c>
      <c r="BT1" s="23"/>
      <c r="BU1" s="125">
        <v>1</v>
      </c>
      <c r="BV1" s="20"/>
      <c r="BW1" s="126"/>
      <c r="BX1" s="23" t="s">
        <v>18</v>
      </c>
      <c r="BY1" s="23" t="s">
        <v>425</v>
      </c>
      <c r="BZ1" s="23"/>
      <c r="CA1" s="190" t="s">
        <v>441</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c r="A2" s="4"/>
      <c r="B2" s="256" t="s">
        <v>18</v>
      </c>
      <c r="C2" s="257" t="s">
        <v>611</v>
      </c>
      <c r="D2" s="258" t="s">
        <v>612</v>
      </c>
      <c r="E2" s="259" t="s">
        <v>645</v>
      </c>
      <c r="F2" s="260" t="s">
        <v>613</v>
      </c>
      <c r="G2" s="261" t="s">
        <v>2</v>
      </c>
      <c r="H2" s="262" t="s">
        <v>614</v>
      </c>
      <c r="I2" s="259" t="s">
        <v>615</v>
      </c>
      <c r="J2" s="257" t="s">
        <v>616</v>
      </c>
      <c r="K2" s="257"/>
      <c r="L2" s="256" t="s">
        <v>735</v>
      </c>
      <c r="M2" s="256" t="s">
        <v>736</v>
      </c>
      <c r="N2" s="256" t="s">
        <v>22</v>
      </c>
      <c r="O2" s="256" t="s">
        <v>623</v>
      </c>
      <c r="P2" s="396" t="s">
        <v>646</v>
      </c>
      <c r="Q2" s="397"/>
      <c r="R2" s="397"/>
      <c r="S2" s="398"/>
      <c r="T2" s="263" t="s">
        <v>4</v>
      </c>
      <c r="U2" s="247" t="s">
        <v>5</v>
      </c>
      <c r="V2" s="264" t="s">
        <v>6</v>
      </c>
      <c r="W2" s="264" t="s">
        <v>7</v>
      </c>
      <c r="X2" s="269" t="s">
        <v>8</v>
      </c>
      <c r="Y2" s="265" t="s">
        <v>9</v>
      </c>
      <c r="Z2" s="256" t="s">
        <v>10</v>
      </c>
      <c r="AA2" s="256" t="s">
        <v>617</v>
      </c>
      <c r="AB2" s="268" t="s">
        <v>633</v>
      </c>
      <c r="AC2" s="268" t="s">
        <v>450</v>
      </c>
      <c r="AD2" s="266" t="s">
        <v>624</v>
      </c>
      <c r="AE2" s="266" t="s">
        <v>625</v>
      </c>
      <c r="AF2" s="266" t="s">
        <v>626</v>
      </c>
      <c r="AG2" s="266" t="s">
        <v>627</v>
      </c>
      <c r="AH2" s="266" t="s">
        <v>628</v>
      </c>
      <c r="AI2" s="266" t="s">
        <v>629</v>
      </c>
      <c r="AJ2" s="266" t="s">
        <v>630</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9" t="s">
        <v>67</v>
      </c>
      <c r="BQ2" s="23">
        <v>50000</v>
      </c>
      <c r="BR2" s="23" t="s">
        <v>68</v>
      </c>
      <c r="BS2" s="23" t="s">
        <v>344</v>
      </c>
      <c r="BT2" s="23"/>
      <c r="BU2" s="125">
        <f>IF(BV2="","",BU1+1)</f>
        <v>2</v>
      </c>
      <c r="BV2" s="20" t="str">
        <f>IF(BW2=0,"",BW2)</f>
        <v>Zombie</v>
      </c>
      <c r="BW2" s="126" t="str">
        <f>HLOOKUP(I$21,CB$2:DF$18,2,FALSE)</f>
        <v>Zombie</v>
      </c>
      <c r="BX2" s="23">
        <f>IF(BW2=0,"",COUNTIF($D$3:$D$18,BW2))</f>
        <v>5</v>
      </c>
      <c r="BY2" s="23">
        <f aca="true" t="shared" si="0" ref="BY2:BY17">IF(BW2=0,"",VLOOKUP(BV2,$AZ:$BM,14,FALSE))</f>
        <v>16</v>
      </c>
      <c r="BZ2" s="23"/>
      <c r="CA2" s="43" t="s">
        <v>442</v>
      </c>
      <c r="CB2" s="314" t="s">
        <v>67</v>
      </c>
      <c r="CC2" s="322" t="s">
        <v>820</v>
      </c>
      <c r="CD2" s="316" t="s">
        <v>750</v>
      </c>
      <c r="CE2" s="316" t="s">
        <v>26</v>
      </c>
      <c r="CF2" s="316" t="s">
        <v>744</v>
      </c>
      <c r="CG2" s="316" t="s">
        <v>28</v>
      </c>
      <c r="CH2" s="316" t="s">
        <v>30</v>
      </c>
      <c r="CI2" s="314" t="s">
        <v>782</v>
      </c>
      <c r="CJ2" s="316" t="s">
        <v>23</v>
      </c>
      <c r="CK2" s="316" t="s">
        <v>31</v>
      </c>
      <c r="CL2" s="316" t="s">
        <v>19</v>
      </c>
      <c r="CM2" s="316" t="s">
        <v>32</v>
      </c>
      <c r="CN2" s="340" t="s">
        <v>827</v>
      </c>
      <c r="CO2" s="314" t="s">
        <v>757</v>
      </c>
      <c r="CP2" s="322" t="s">
        <v>816</v>
      </c>
      <c r="CQ2" s="314" t="s">
        <v>69</v>
      </c>
      <c r="CR2" s="314" t="s">
        <v>764</v>
      </c>
      <c r="CS2" s="316" t="s">
        <v>33</v>
      </c>
      <c r="CT2" s="314" t="s">
        <v>77</v>
      </c>
      <c r="CU2" s="314" t="s">
        <v>71</v>
      </c>
      <c r="CV2" s="314" t="s">
        <v>24</v>
      </c>
      <c r="CW2" s="340" t="s">
        <v>913</v>
      </c>
      <c r="CX2" s="340" t="s">
        <v>846</v>
      </c>
      <c r="CY2" s="340" t="s">
        <v>931</v>
      </c>
      <c r="CZ2" s="322" t="s">
        <v>815</v>
      </c>
      <c r="DA2" s="316" t="s">
        <v>34</v>
      </c>
      <c r="DB2" s="336" t="s">
        <v>814</v>
      </c>
      <c r="DC2" s="314" t="s">
        <v>771</v>
      </c>
      <c r="DD2" s="314" t="s">
        <v>778</v>
      </c>
      <c r="DE2" s="314" t="s">
        <v>84</v>
      </c>
      <c r="DF2" s="314"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c r="A3" s="4"/>
      <c r="B3" s="310">
        <v>1</v>
      </c>
      <c r="C3" s="280" t="s">
        <v>955</v>
      </c>
      <c r="D3" s="281" t="str">
        <f aca="true" t="shared" si="1" ref="D3:D18">IF(AR3&lt;=1,"",VLOOKUP(AR3,BU$1:BV$65536,2,FALSE))</f>
        <v>Werewolf</v>
      </c>
      <c r="E3" s="8">
        <f aca="true" t="shared" si="2" ref="E3:E18">IF(D3&lt;&gt;"",IF(Z3="Star",VLOOKUP(D3,$AZ:$BF,2,FALSE),VLOOKUP(D3,$AZ:$BF,2,FALSE)+P3+IF(AL3=2,1)+IF(AM3=2,1)+IF(AN3=2,1)+IF(AO3=2,1)+IF(AP3=2,1)+IF(AQ3=2,1)),"")</f>
        <v>9</v>
      </c>
      <c r="F3" s="9">
        <f aca="true" t="shared" si="3" ref="F3:F18">IF(D3&lt;&gt;"",IF(Z3="Star",VLOOKUP(D3,$AZ:$BF,3,FALSE),VLOOKUP(D3,$AZ:$BF,3,FALSE)+Q3+IF(AL3=5,1)+IF(AM3=5,1)+IF(AN3=5,1)+IF(AO3=5,1)+IF(AP3=5,1)+IF(AQ3=5,1)),"")</f>
        <v>3</v>
      </c>
      <c r="G3" s="10">
        <f aca="true" t="shared" si="4" ref="G3:G18">IF(D3&lt;&gt;"",IF(Z3="Star",VLOOKUP(D3,$AZ:$BF,4,FALSE),VLOOKUP(D3,$AZ:$BF,4,FALSE)+R3+IF(AL3=4,1)+IF(AM3=4,1)+IF(AN3=4,1)+IF(AO3=4,1)+IF(AP3=4,1)+IF(AQ3=4,1)),"")</f>
        <v>4</v>
      </c>
      <c r="H3" s="11">
        <f aca="true" t="shared" si="5" ref="H3:H18">IF(D3&lt;&gt;"",IF(Z3="Star",VLOOKUP(D3,$AZ:$BF,5,FALSE),VLOOKUP(D3,$AZ:$BF,5,FALSE)+S3+IF(AL3=3,1)+IF(AM3=3,1)+IF(AN3=3,1)+IF(AO3=3,1)+IF(AP3=3,1)+IF(AQ3=3,1)),"")</f>
        <v>8</v>
      </c>
      <c r="I3" s="185" t="str">
        <f aca="true" t="shared" si="6" ref="I3:I18">IF(D3="","",IF(VLOOKUP(D3,$BV$2:$BY$17,3,FALSE)&gt;VLOOKUP(D3,$BV$2:$BY$17,4,FALSE),"Player type quantity surpassed",VLOOKUP(D3,$AZ:$BF,6,FALSE)))</f>
        <v>Frenzy, Claws, Regeneration</v>
      </c>
      <c r="J3" s="249" t="str">
        <f>AD3&amp;AE3&amp;AF3&amp;AG3&amp;AH3&amp;AI3&amp;IF(AJ3&lt;&gt;"",IF(AD3&amp;AE3&amp;AF3&amp;AG3&amp;AH3&amp;AI3&lt;&gt;"",", ","")&amp;AJ3,"")</f>
        <v> +AG , Dodge, Block,  +MA </v>
      </c>
      <c r="K3" s="279" t="str">
        <f>IF(Z3="Star","n/a",IF(Z3&gt;=176,"6",IF(Z3&gt;=76,"5",IF(Z3&gt;=51,"4",IF(Z3&gt;=31,"3",IF(Z3&gt;=16,"2",IF(Z3&gt;=6,"1","")))))))</f>
        <v>4</v>
      </c>
      <c r="L3" s="288"/>
      <c r="M3" s="289"/>
      <c r="N3" s="308"/>
      <c r="O3" s="308"/>
      <c r="P3" s="298"/>
      <c r="Q3" s="299"/>
      <c r="R3" s="300"/>
      <c r="S3" s="301"/>
      <c r="T3" s="290"/>
      <c r="U3" s="291">
        <v>13</v>
      </c>
      <c r="V3" s="290">
        <v>11</v>
      </c>
      <c r="W3" s="291">
        <v>2</v>
      </c>
      <c r="X3" s="306"/>
      <c r="Y3" s="294">
        <v>3</v>
      </c>
      <c r="Z3" s="186">
        <f aca="true" t="shared" si="7" ref="Z3:Z18">IF(LEFT(D3,1)="*","Star",T3*2+U3*1+V3*3+W3*2+Y3*5+AC3)</f>
        <v>65</v>
      </c>
      <c r="AA3" s="114">
        <f aca="true" t="shared" si="8" ref="AA3:AA18">IF(D3&lt;&gt;"",(AB3+V33+W33+X33+Y33+Z33+AA33)*1000+VLOOKUP(D3,AZ$1:BF$65536,7,FALSE),0)</f>
        <v>230000</v>
      </c>
      <c r="AB3" s="296"/>
      <c r="AC3" s="312"/>
      <c r="AD3" s="253" t="str">
        <f aca="true" t="shared" si="9" ref="AD3:AD18">IF(AL3&gt;1,VLOOKUP(AL3,$AQ$32:$AS$87,3),"")</f>
        <v> +AG </v>
      </c>
      <c r="AE3" s="253" t="str">
        <f aca="true" t="shared" si="10" ref="AE3:AE18">IF(AM3&gt;1,IF(AD3&lt;&gt;"",", ","")&amp;VLOOKUP(AM3,$AQ$32:$AS$87,3),"")</f>
        <v>, Dodge</v>
      </c>
      <c r="AF3" s="253" t="str">
        <f aca="true" t="shared" si="11" ref="AF3:AF18">IF(AN3&gt;1,IF(AD3&amp;AE3&lt;&gt;"",", ","")&amp;VLOOKUP(AN3,$AQ$32:$AS$87,3),"")</f>
        <v>, Block</v>
      </c>
      <c r="AG3" s="253" t="str">
        <f aca="true" t="shared" si="12" ref="AG3:AG18">IF(AO3&gt;1,IF(AD3&amp;AE3&amp;AF3&lt;&gt;"",", ","")&amp;VLOOKUP(AO3,$AQ$32:$AS$87,3),"")</f>
        <v>,  +MA </v>
      </c>
      <c r="AH3" s="253">
        <f aca="true" t="shared" si="13" ref="AH3:AH18">IF(AP3&gt;1,IF(AD3&amp;AE3&amp;AF3&amp;AG3&lt;&gt;"",", ","")&amp;VLOOKUP(AP3,$AQ$32:$AS$87,3),"")</f>
      </c>
      <c r="AI3" s="253">
        <f aca="true" t="shared" si="14" ref="AI3:AI18">IF(AQ3&gt;1,IF(AD3&amp;AE3&amp;AF3&amp;AG3&amp;AH3&lt;&gt;"",", ","")&amp;VLOOKUP(AQ3,$AQ$32:$AS$87,3),"")</f>
      </c>
      <c r="AJ3" s="313"/>
      <c r="AK3" s="205"/>
      <c r="AL3" s="250">
        <v>4</v>
      </c>
      <c r="AM3" s="250">
        <v>23</v>
      </c>
      <c r="AN3" s="250">
        <v>6</v>
      </c>
      <c r="AO3" s="250">
        <v>2</v>
      </c>
      <c r="AP3" s="250">
        <v>1</v>
      </c>
      <c r="AQ3" s="250">
        <v>1</v>
      </c>
      <c r="AR3" s="35">
        <v>6</v>
      </c>
      <c r="AS3" s="30">
        <f aca="true" t="shared" si="15" ref="AS3:AS18">VLOOKUP(D3,$AZ:$BF,2,FALSE)</f>
        <v>8</v>
      </c>
      <c r="AT3" s="30">
        <f aca="true" t="shared" si="16" ref="AT3:AT18">VLOOKUP(D3,$AZ:$BF,3,FALSE)</f>
        <v>3</v>
      </c>
      <c r="AU3" s="30">
        <f aca="true" t="shared" si="17" ref="AU3:AU18">VLOOKUP(D3,$AZ:$BF,4,FALSE)</f>
        <v>3</v>
      </c>
      <c r="AV3" s="30">
        <f aca="true" t="shared" si="18" ref="AV3:AV18">VLOOKUP(D3,$AZ:$BF,5,FALSE)</f>
        <v>8</v>
      </c>
      <c r="AW3" s="191">
        <f aca="true" t="shared" si="19" ref="AW3:AW18">IF(N3&lt;&gt;"",0,(IF(D3&lt;&gt;"",VLOOKUP(D3,AZ$1:BF$65536,7,FALSE)+(AB3+V33+W33+X33+Y33+Z33+AA33)*1000,0)))</f>
        <v>230000</v>
      </c>
      <c r="AX3" s="30"/>
      <c r="AY3" s="20">
        <v>1</v>
      </c>
      <c r="AZ3" s="315" t="s">
        <v>737</v>
      </c>
      <c r="BA3" s="38">
        <v>6</v>
      </c>
      <c r="BB3" s="38">
        <v>3</v>
      </c>
      <c r="BC3" s="38">
        <v>3</v>
      </c>
      <c r="BD3" s="38">
        <v>7</v>
      </c>
      <c r="BE3" s="40" t="s">
        <v>363</v>
      </c>
      <c r="BF3" s="37">
        <v>50000</v>
      </c>
      <c r="BG3" s="37" t="s">
        <v>311</v>
      </c>
      <c r="BH3" s="37">
        <v>20</v>
      </c>
      <c r="BI3" s="37">
        <v>30</v>
      </c>
      <c r="BJ3" s="37">
        <v>30</v>
      </c>
      <c r="BK3" s="37">
        <v>30</v>
      </c>
      <c r="BL3" s="37" t="s">
        <v>11</v>
      </c>
      <c r="BM3" s="37">
        <v>16</v>
      </c>
      <c r="BN3" s="37"/>
      <c r="BO3" s="24">
        <v>2</v>
      </c>
      <c r="BP3" s="321" t="s">
        <v>820</v>
      </c>
      <c r="BQ3" s="23">
        <v>70000</v>
      </c>
      <c r="BR3" s="23"/>
      <c r="BS3" s="23" t="s">
        <v>344</v>
      </c>
      <c r="BT3" s="23"/>
      <c r="BU3" s="125">
        <f aca="true" t="shared" si="20" ref="BU3:BU12">IF(BV3="","",BU2+1)</f>
        <v>3</v>
      </c>
      <c r="BV3" s="20" t="str">
        <f>IF(BW3=0,"",BW3)</f>
        <v>Ghoul Runner </v>
      </c>
      <c r="BW3" s="126" t="str">
        <f>HLOOKUP(I$21,CB$2:DF$18,3,FALSE)</f>
        <v>Ghoul Runner </v>
      </c>
      <c r="BX3" s="23">
        <f aca="true" t="shared" si="21" ref="BX3:BX14">IF(BW3=0,"",COUNTIF($D$3:$D$18,BW3))</f>
        <v>2</v>
      </c>
      <c r="BY3" s="23">
        <f t="shared" si="0"/>
        <v>2</v>
      </c>
      <c r="BZ3" s="23"/>
      <c r="CA3" s="24">
        <v>1</v>
      </c>
      <c r="CB3" s="315" t="s">
        <v>737</v>
      </c>
      <c r="CC3" s="323" t="s">
        <v>685</v>
      </c>
      <c r="CD3" s="315" t="s">
        <v>751</v>
      </c>
      <c r="CE3" s="315" t="s">
        <v>739</v>
      </c>
      <c r="CF3" s="315" t="s">
        <v>817</v>
      </c>
      <c r="CG3" s="317" t="s">
        <v>41</v>
      </c>
      <c r="CH3" s="315" t="s">
        <v>117</v>
      </c>
      <c r="CI3" s="317" t="s">
        <v>783</v>
      </c>
      <c r="CJ3" s="317" t="s">
        <v>23</v>
      </c>
      <c r="CK3" s="315" t="s">
        <v>754</v>
      </c>
      <c r="CL3" s="317" t="s">
        <v>20</v>
      </c>
      <c r="CM3" s="317" t="s">
        <v>47</v>
      </c>
      <c r="CN3" s="341" t="s">
        <v>829</v>
      </c>
      <c r="CO3" s="315" t="s">
        <v>758</v>
      </c>
      <c r="CP3" s="323" t="s">
        <v>671</v>
      </c>
      <c r="CQ3" s="315" t="s">
        <v>761</v>
      </c>
      <c r="CR3" s="315" t="s">
        <v>766</v>
      </c>
      <c r="CS3" s="315" t="s">
        <v>56</v>
      </c>
      <c r="CT3" s="315" t="s">
        <v>177</v>
      </c>
      <c r="CU3" s="315" t="s">
        <v>775</v>
      </c>
      <c r="CV3" s="317" t="s">
        <v>25</v>
      </c>
      <c r="CW3" s="341" t="s">
        <v>914</v>
      </c>
      <c r="CX3" s="341" t="s">
        <v>849</v>
      </c>
      <c r="CY3" s="341" t="s">
        <v>932</v>
      </c>
      <c r="CZ3" s="325" t="s">
        <v>695</v>
      </c>
      <c r="DA3" s="317" t="s">
        <v>44</v>
      </c>
      <c r="DB3" s="337" t="s">
        <v>504</v>
      </c>
      <c r="DC3" s="315" t="s">
        <v>758</v>
      </c>
      <c r="DD3" s="315" t="s">
        <v>507</v>
      </c>
      <c r="DE3" s="315" t="s">
        <v>780</v>
      </c>
      <c r="DF3" s="317"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c r="A4" s="4"/>
      <c r="B4" s="311">
        <v>2</v>
      </c>
      <c r="C4" s="280" t="s">
        <v>969</v>
      </c>
      <c r="D4" s="281">
        <f t="shared" si="1"/>
      </c>
      <c r="E4" s="8">
        <f t="shared" si="2"/>
      </c>
      <c r="F4" s="9">
        <f t="shared" si="3"/>
      </c>
      <c r="G4" s="10">
        <f t="shared" si="4"/>
      </c>
      <c r="H4" s="11">
        <f t="shared" si="5"/>
      </c>
      <c r="I4" s="185">
        <f t="shared" si="6"/>
      </c>
      <c r="J4" s="249">
        <f aca="true" t="shared" si="22" ref="J4:J18">AD4&amp;AE4&amp;AF4&amp;AG4&amp;AH4&amp;AI4&amp;IF(AJ4&lt;&gt;"",", "&amp;AJ4,"")</f>
      </c>
      <c r="K4" s="279">
        <f>IF(Z4="Star","n/a",IF(Z4&gt;=176,"6",IF(Z4&gt;=76,"5",IF(Z4&gt;=51,"4",IF(Z4&gt;=31,"3",IF(Z4&gt;=16,"2",IF(Z4&gt;=6,"1","")))))))</f>
      </c>
      <c r="L4" s="288"/>
      <c r="M4" s="289"/>
      <c r="N4" s="309"/>
      <c r="O4" s="309" t="s">
        <v>965</v>
      </c>
      <c r="P4" s="302"/>
      <c r="Q4" s="303"/>
      <c r="R4" s="304"/>
      <c r="S4" s="305"/>
      <c r="T4" s="292"/>
      <c r="U4" s="293"/>
      <c r="V4" s="292"/>
      <c r="W4" s="293"/>
      <c r="X4" s="307"/>
      <c r="Y4" s="295"/>
      <c r="Z4" s="186">
        <f t="shared" si="7"/>
        <v>0</v>
      </c>
      <c r="AA4" s="114">
        <f t="shared" si="8"/>
        <v>0</v>
      </c>
      <c r="AB4" s="296"/>
      <c r="AC4" s="297"/>
      <c r="AD4" s="253">
        <f t="shared" si="9"/>
      </c>
      <c r="AE4" s="253">
        <f t="shared" si="10"/>
      </c>
      <c r="AF4" s="253">
        <f t="shared" si="11"/>
      </c>
      <c r="AG4" s="253">
        <f t="shared" si="12"/>
      </c>
      <c r="AH4" s="253">
        <f t="shared" si="13"/>
      </c>
      <c r="AI4" s="253">
        <f t="shared" si="14"/>
      </c>
      <c r="AJ4" s="313"/>
      <c r="AK4" s="205"/>
      <c r="AL4" s="250">
        <v>1</v>
      </c>
      <c r="AM4" s="250">
        <v>1</v>
      </c>
      <c r="AN4" s="250">
        <v>1</v>
      </c>
      <c r="AO4" s="250">
        <v>1</v>
      </c>
      <c r="AP4" s="250">
        <v>1</v>
      </c>
      <c r="AQ4" s="250">
        <v>1</v>
      </c>
      <c r="AR4" s="35">
        <v>1</v>
      </c>
      <c r="AS4" s="30" t="e">
        <f t="shared" si="15"/>
        <v>#N/A</v>
      </c>
      <c r="AT4" s="30" t="e">
        <f t="shared" si="16"/>
        <v>#N/A</v>
      </c>
      <c r="AU4" s="30" t="e">
        <f t="shared" si="17"/>
        <v>#N/A</v>
      </c>
      <c r="AV4" s="30" t="e">
        <f t="shared" si="18"/>
        <v>#N/A</v>
      </c>
      <c r="AW4" s="191">
        <f t="shared" si="19"/>
        <v>0</v>
      </c>
      <c r="AX4" s="30"/>
      <c r="AY4" s="20">
        <f aca="true" t="shared" si="23" ref="AY4:AY67">IF(AZ4="","",AY3+1)</f>
        <v>2</v>
      </c>
      <c r="AZ4" s="315" t="s">
        <v>740</v>
      </c>
      <c r="BA4" s="38">
        <v>6</v>
      </c>
      <c r="BB4" s="38">
        <v>3</v>
      </c>
      <c r="BC4" s="38">
        <v>3</v>
      </c>
      <c r="BD4" s="38">
        <v>7</v>
      </c>
      <c r="BE4" s="40" t="s">
        <v>484</v>
      </c>
      <c r="BF4" s="37">
        <v>70000</v>
      </c>
      <c r="BG4" s="37" t="s">
        <v>312</v>
      </c>
      <c r="BH4" s="37">
        <v>20</v>
      </c>
      <c r="BI4" s="37">
        <v>30</v>
      </c>
      <c r="BJ4" s="37">
        <v>20</v>
      </c>
      <c r="BK4" s="37">
        <v>30</v>
      </c>
      <c r="BL4" s="37" t="s">
        <v>11</v>
      </c>
      <c r="BM4" s="37">
        <v>2</v>
      </c>
      <c r="BN4" s="37"/>
      <c r="BO4" s="24">
        <v>3</v>
      </c>
      <c r="BP4" s="319" t="s">
        <v>750</v>
      </c>
      <c r="BQ4" s="23">
        <v>60000</v>
      </c>
      <c r="BR4" s="23" t="s">
        <v>59</v>
      </c>
      <c r="BS4" s="23" t="s">
        <v>344</v>
      </c>
      <c r="BT4" s="23"/>
      <c r="BU4" s="125">
        <f t="shared" si="20"/>
        <v>4</v>
      </c>
      <c r="BV4" s="20" t="str">
        <f aca="true" t="shared" si="24" ref="BV4:BV16">IF(BW4=0,"",BW4)</f>
        <v>Wight Blitzer</v>
      </c>
      <c r="BW4" s="126" t="str">
        <f>HLOOKUP(I$21,CB$2:DF$18,4,FALSE)</f>
        <v>Wight Blitzer</v>
      </c>
      <c r="BX4" s="23">
        <f t="shared" si="21"/>
        <v>2</v>
      </c>
      <c r="BY4" s="23">
        <f t="shared" si="0"/>
        <v>2</v>
      </c>
      <c r="BZ4" s="23"/>
      <c r="CA4" s="24">
        <v>2</v>
      </c>
      <c r="CB4" s="315" t="s">
        <v>740</v>
      </c>
      <c r="CC4" s="323" t="s">
        <v>687</v>
      </c>
      <c r="CD4" s="315" t="s">
        <v>752</v>
      </c>
      <c r="CE4" s="315" t="s">
        <v>52</v>
      </c>
      <c r="CF4" s="315" t="s">
        <v>746</v>
      </c>
      <c r="CG4" s="317" t="s">
        <v>118</v>
      </c>
      <c r="CH4" s="315" t="s">
        <v>53</v>
      </c>
      <c r="CI4" s="317" t="s">
        <v>784</v>
      </c>
      <c r="CJ4" s="315" t="s">
        <v>753</v>
      </c>
      <c r="CK4" s="315" t="s">
        <v>755</v>
      </c>
      <c r="CL4" s="317" t="s">
        <v>124</v>
      </c>
      <c r="CM4" s="317" t="s">
        <v>49</v>
      </c>
      <c r="CN4" s="341" t="s">
        <v>828</v>
      </c>
      <c r="CO4" s="315" t="s">
        <v>759</v>
      </c>
      <c r="CP4" s="323" t="s">
        <v>672</v>
      </c>
      <c r="CQ4" s="315" t="s">
        <v>762</v>
      </c>
      <c r="CR4" s="315" t="s">
        <v>845</v>
      </c>
      <c r="CS4" s="315" t="s">
        <v>57</v>
      </c>
      <c r="CT4" s="315" t="s">
        <v>792</v>
      </c>
      <c r="CU4" s="315" t="s">
        <v>175</v>
      </c>
      <c r="CV4" s="317" t="s">
        <v>436</v>
      </c>
      <c r="CW4" s="341" t="s">
        <v>915</v>
      </c>
      <c r="CX4" s="341" t="s">
        <v>850</v>
      </c>
      <c r="CY4" s="341" t="s">
        <v>934</v>
      </c>
      <c r="CZ4" s="325" t="s">
        <v>696</v>
      </c>
      <c r="DA4" s="317" t="s">
        <v>45</v>
      </c>
      <c r="DB4" s="337" t="s">
        <v>505</v>
      </c>
      <c r="DC4" s="315" t="s">
        <v>766</v>
      </c>
      <c r="DD4" s="315" t="s">
        <v>791</v>
      </c>
      <c r="DE4" s="315" t="s">
        <v>781</v>
      </c>
      <c r="DF4" s="317"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c r="A5" s="4"/>
      <c r="B5" s="310">
        <v>3</v>
      </c>
      <c r="C5" s="280" t="s">
        <v>957</v>
      </c>
      <c r="D5" s="281" t="str">
        <f t="shared" si="1"/>
        <v>Wight Blitzer</v>
      </c>
      <c r="E5" s="8">
        <f t="shared" si="2"/>
        <v>6</v>
      </c>
      <c r="F5" s="9">
        <f t="shared" si="3"/>
        <v>3</v>
      </c>
      <c r="G5" s="10">
        <f t="shared" si="4"/>
        <v>4</v>
      </c>
      <c r="H5" s="11">
        <f t="shared" si="5"/>
        <v>8</v>
      </c>
      <c r="I5" s="185" t="str">
        <f t="shared" si="6"/>
        <v>Regeneration,  Block</v>
      </c>
      <c r="J5" s="249" t="str">
        <f t="shared" si="22"/>
        <v>Mighty Blow,  +AG , Guard</v>
      </c>
      <c r="K5" s="279" t="str">
        <f aca="true" t="shared" si="25" ref="K5:K18">IF(Z5="Star","n/a",IF(Z5&gt;=176,"6",IF(Z5&gt;=76,"5",IF(Z5&gt;=51,"4",IF(Z5&gt;=31,"3",IF(Z5&gt;=16,"2",IF(Z5&gt;=6,"1","")))))))</f>
        <v>3</v>
      </c>
      <c r="L5" s="288"/>
      <c r="M5" s="289"/>
      <c r="N5" s="309"/>
      <c r="O5" s="309"/>
      <c r="P5" s="302"/>
      <c r="Q5" s="303"/>
      <c r="R5" s="304"/>
      <c r="S5" s="305"/>
      <c r="T5" s="292"/>
      <c r="U5" s="293">
        <v>6</v>
      </c>
      <c r="V5" s="292">
        <v>2</v>
      </c>
      <c r="W5" s="293">
        <v>1</v>
      </c>
      <c r="X5" s="307"/>
      <c r="Y5" s="295">
        <v>4</v>
      </c>
      <c r="Z5" s="186">
        <f t="shared" si="7"/>
        <v>34</v>
      </c>
      <c r="AA5" s="114">
        <f t="shared" si="8"/>
        <v>170000</v>
      </c>
      <c r="AB5" s="296"/>
      <c r="AC5" s="297"/>
      <c r="AD5" s="253" t="str">
        <f t="shared" si="9"/>
        <v>Mighty Blow</v>
      </c>
      <c r="AE5" s="253" t="str">
        <f t="shared" si="10"/>
        <v>,  +AG </v>
      </c>
      <c r="AF5" s="253" t="str">
        <f t="shared" si="11"/>
        <v>, Guard</v>
      </c>
      <c r="AG5" s="253">
        <f t="shared" si="12"/>
      </c>
      <c r="AH5" s="253">
        <f t="shared" si="13"/>
      </c>
      <c r="AI5" s="253">
        <f t="shared" si="14"/>
      </c>
      <c r="AJ5" s="313"/>
      <c r="AK5" s="205"/>
      <c r="AL5" s="250">
        <v>41</v>
      </c>
      <c r="AM5" s="250">
        <v>4</v>
      </c>
      <c r="AN5" s="250">
        <v>39</v>
      </c>
      <c r="AO5" s="250">
        <v>1</v>
      </c>
      <c r="AP5" s="250">
        <v>1</v>
      </c>
      <c r="AQ5" s="250">
        <v>1</v>
      </c>
      <c r="AR5" s="35">
        <v>4</v>
      </c>
      <c r="AS5" s="30">
        <f t="shared" si="15"/>
        <v>6</v>
      </c>
      <c r="AT5" s="30">
        <f t="shared" si="16"/>
        <v>3</v>
      </c>
      <c r="AU5" s="30">
        <f t="shared" si="17"/>
        <v>3</v>
      </c>
      <c r="AV5" s="30">
        <f t="shared" si="18"/>
        <v>8</v>
      </c>
      <c r="AW5" s="191">
        <f t="shared" si="19"/>
        <v>170000</v>
      </c>
      <c r="AX5" s="30"/>
      <c r="AY5" s="20">
        <f t="shared" si="23"/>
        <v>3</v>
      </c>
      <c r="AZ5" s="315" t="s">
        <v>741</v>
      </c>
      <c r="BA5" s="38">
        <v>6</v>
      </c>
      <c r="BB5" s="38">
        <v>3</v>
      </c>
      <c r="BC5" s="38">
        <v>3</v>
      </c>
      <c r="BD5" s="38">
        <v>7</v>
      </c>
      <c r="BE5" s="40" t="s">
        <v>483</v>
      </c>
      <c r="BF5" s="37">
        <v>70000</v>
      </c>
      <c r="BG5" s="37" t="s">
        <v>313</v>
      </c>
      <c r="BH5" s="37">
        <v>20</v>
      </c>
      <c r="BI5" s="37">
        <v>20</v>
      </c>
      <c r="BJ5" s="37">
        <v>30</v>
      </c>
      <c r="BK5" s="37">
        <v>30</v>
      </c>
      <c r="BL5" s="37" t="s">
        <v>11</v>
      </c>
      <c r="BM5" s="37">
        <v>2</v>
      </c>
      <c r="BN5" s="37"/>
      <c r="BO5" s="24">
        <v>4</v>
      </c>
      <c r="BP5" s="319" t="s">
        <v>26</v>
      </c>
      <c r="BQ5" s="23">
        <v>70000</v>
      </c>
      <c r="BR5" s="23" t="s">
        <v>60</v>
      </c>
      <c r="BS5" s="23" t="s">
        <v>344</v>
      </c>
      <c r="BT5" s="23"/>
      <c r="BU5" s="125">
        <f t="shared" si="20"/>
        <v>5</v>
      </c>
      <c r="BV5" s="20" t="str">
        <f t="shared" si="24"/>
        <v>Flesh Golem</v>
      </c>
      <c r="BW5" s="126" t="str">
        <f>HLOOKUP(I$21,CB$2:DF$18,5,FALSE)</f>
        <v>Flesh Golem</v>
      </c>
      <c r="BX5" s="23">
        <f t="shared" si="21"/>
        <v>2</v>
      </c>
      <c r="BY5" s="23">
        <f t="shared" si="0"/>
        <v>2</v>
      </c>
      <c r="BZ5" s="23"/>
      <c r="CA5" s="24">
        <v>3</v>
      </c>
      <c r="CB5" s="315" t="s">
        <v>741</v>
      </c>
      <c r="CC5" s="323" t="s">
        <v>686</v>
      </c>
      <c r="CD5" s="315" t="s">
        <v>74</v>
      </c>
      <c r="CE5" s="315" t="s">
        <v>738</v>
      </c>
      <c r="CF5" s="330" t="s">
        <v>880</v>
      </c>
      <c r="CG5" s="315" t="s">
        <v>119</v>
      </c>
      <c r="CH5" s="315" t="s">
        <v>54</v>
      </c>
      <c r="CI5" s="315" t="s">
        <v>785</v>
      </c>
      <c r="CJ5" s="315" t="s">
        <v>122</v>
      </c>
      <c r="CK5" s="324" t="s">
        <v>155</v>
      </c>
      <c r="CL5" s="317" t="s">
        <v>125</v>
      </c>
      <c r="CM5" s="317" t="s">
        <v>48</v>
      </c>
      <c r="CN5" s="341" t="s">
        <v>830</v>
      </c>
      <c r="CO5" s="315" t="s">
        <v>760</v>
      </c>
      <c r="CP5" s="323" t="s">
        <v>674</v>
      </c>
      <c r="CQ5" s="315" t="s">
        <v>73</v>
      </c>
      <c r="CR5" s="315" t="s">
        <v>767</v>
      </c>
      <c r="CS5" s="315" t="s">
        <v>174</v>
      </c>
      <c r="CT5" s="315" t="s">
        <v>793</v>
      </c>
      <c r="CU5" s="21" t="s">
        <v>91</v>
      </c>
      <c r="CV5" s="317" t="s">
        <v>27</v>
      </c>
      <c r="CW5" s="341" t="s">
        <v>916</v>
      </c>
      <c r="CX5" s="341" t="s">
        <v>852</v>
      </c>
      <c r="CY5" s="341" t="s">
        <v>55</v>
      </c>
      <c r="CZ5" s="325" t="s">
        <v>697</v>
      </c>
      <c r="DA5" s="317" t="s">
        <v>46</v>
      </c>
      <c r="DB5" s="337" t="s">
        <v>506</v>
      </c>
      <c r="DC5" s="315" t="s">
        <v>765</v>
      </c>
      <c r="DD5" s="315" t="s">
        <v>789</v>
      </c>
      <c r="DE5" s="334" t="s">
        <v>105</v>
      </c>
      <c r="DF5" s="317"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c r="A6" s="4"/>
      <c r="B6" s="311">
        <v>4</v>
      </c>
      <c r="C6" s="280" t="s">
        <v>968</v>
      </c>
      <c r="D6" s="281" t="str">
        <f t="shared" si="1"/>
        <v>Wight Blitzer</v>
      </c>
      <c r="E6" s="8">
        <f t="shared" si="2"/>
        <v>6</v>
      </c>
      <c r="F6" s="9">
        <f t="shared" si="3"/>
        <v>3</v>
      </c>
      <c r="G6" s="10">
        <f t="shared" si="4"/>
        <v>3</v>
      </c>
      <c r="H6" s="11">
        <f t="shared" si="5"/>
        <v>8</v>
      </c>
      <c r="I6" s="185" t="str">
        <f t="shared" si="6"/>
        <v>Regeneration,  Block</v>
      </c>
      <c r="J6" s="249">
        <f t="shared" si="22"/>
      </c>
      <c r="K6" s="279">
        <f t="shared" si="25"/>
      </c>
      <c r="L6" s="288"/>
      <c r="M6" s="289"/>
      <c r="N6" s="309"/>
      <c r="O6" s="309"/>
      <c r="P6" s="302"/>
      <c r="Q6" s="303"/>
      <c r="R6" s="304"/>
      <c r="S6" s="305"/>
      <c r="T6" s="292"/>
      <c r="U6" s="293"/>
      <c r="V6" s="292"/>
      <c r="W6" s="293"/>
      <c r="X6" s="307"/>
      <c r="Y6" s="295">
        <v>1</v>
      </c>
      <c r="Z6" s="186">
        <f t="shared" si="7"/>
        <v>5</v>
      </c>
      <c r="AA6" s="114">
        <f t="shared" si="8"/>
        <v>90000</v>
      </c>
      <c r="AB6" s="296"/>
      <c r="AC6" s="297"/>
      <c r="AD6" s="253">
        <f t="shared" si="9"/>
      </c>
      <c r="AE6" s="253">
        <f t="shared" si="10"/>
      </c>
      <c r="AF6" s="253">
        <f t="shared" si="11"/>
      </c>
      <c r="AG6" s="253">
        <f t="shared" si="12"/>
      </c>
      <c r="AH6" s="253">
        <f t="shared" si="13"/>
      </c>
      <c r="AI6" s="253">
        <f t="shared" si="14"/>
      </c>
      <c r="AJ6" s="313"/>
      <c r="AK6" s="205"/>
      <c r="AL6" s="250">
        <v>1</v>
      </c>
      <c r="AM6" s="250">
        <v>1</v>
      </c>
      <c r="AN6" s="250">
        <v>1</v>
      </c>
      <c r="AO6" s="250">
        <v>1</v>
      </c>
      <c r="AP6" s="250">
        <v>1</v>
      </c>
      <c r="AQ6" s="250">
        <v>1</v>
      </c>
      <c r="AR6" s="35">
        <v>4</v>
      </c>
      <c r="AS6" s="30">
        <f t="shared" si="15"/>
        <v>6</v>
      </c>
      <c r="AT6" s="30">
        <f t="shared" si="16"/>
        <v>3</v>
      </c>
      <c r="AU6" s="30">
        <f t="shared" si="17"/>
        <v>3</v>
      </c>
      <c r="AV6" s="30">
        <f t="shared" si="18"/>
        <v>8</v>
      </c>
      <c r="AW6" s="191">
        <f t="shared" si="19"/>
        <v>90000</v>
      </c>
      <c r="AX6" s="30"/>
      <c r="AY6" s="20">
        <f t="shared" si="23"/>
        <v>4</v>
      </c>
      <c r="AZ6" s="315" t="s">
        <v>742</v>
      </c>
      <c r="BA6" s="38">
        <v>6</v>
      </c>
      <c r="BB6" s="38">
        <v>3</v>
      </c>
      <c r="BC6" s="38">
        <v>3</v>
      </c>
      <c r="BD6" s="38">
        <v>7</v>
      </c>
      <c r="BE6" s="40" t="s">
        <v>482</v>
      </c>
      <c r="BF6" s="37">
        <v>90000</v>
      </c>
      <c r="BG6" s="37" t="s">
        <v>314</v>
      </c>
      <c r="BH6" s="37">
        <v>20</v>
      </c>
      <c r="BI6" s="37">
        <v>30</v>
      </c>
      <c r="BJ6" s="37">
        <v>30</v>
      </c>
      <c r="BK6" s="37">
        <v>20</v>
      </c>
      <c r="BL6" s="37" t="s">
        <v>11</v>
      </c>
      <c r="BM6" s="37">
        <v>4</v>
      </c>
      <c r="BN6" s="189"/>
      <c r="BO6" s="24">
        <v>5</v>
      </c>
      <c r="BP6" s="320" t="s">
        <v>744</v>
      </c>
      <c r="BQ6" s="37">
        <v>70000</v>
      </c>
      <c r="BS6" s="23" t="s">
        <v>344</v>
      </c>
      <c r="BT6" s="23"/>
      <c r="BU6" s="125">
        <f t="shared" si="20"/>
        <v>6</v>
      </c>
      <c r="BV6" s="20" t="str">
        <f t="shared" si="24"/>
        <v>Werewolf</v>
      </c>
      <c r="BW6" s="126" t="str">
        <f>HLOOKUP(I$21,CB$2:DF$18,6,FALSE)</f>
        <v>Werewolf</v>
      </c>
      <c r="BX6" s="23">
        <f t="shared" si="21"/>
        <v>1</v>
      </c>
      <c r="BY6" s="23">
        <f t="shared" si="0"/>
        <v>2</v>
      </c>
      <c r="BZ6" s="23"/>
      <c r="CA6" s="24">
        <v>4</v>
      </c>
      <c r="CB6" s="315" t="s">
        <v>742</v>
      </c>
      <c r="CC6" s="33" t="s">
        <v>566</v>
      </c>
      <c r="CD6" s="33" t="s">
        <v>496</v>
      </c>
      <c r="CE6" s="315" t="s">
        <v>743</v>
      </c>
      <c r="CF6" s="315" t="s">
        <v>818</v>
      </c>
      <c r="CG6" s="317" t="s">
        <v>42</v>
      </c>
      <c r="CH6" s="315" t="s">
        <v>55</v>
      </c>
      <c r="CI6" s="315" t="s">
        <v>786</v>
      </c>
      <c r="CJ6" s="330" t="s">
        <v>878</v>
      </c>
      <c r="CK6" s="33" t="s">
        <v>108</v>
      </c>
      <c r="CL6" s="317" t="s">
        <v>126</v>
      </c>
      <c r="CM6" s="317" t="s">
        <v>50</v>
      </c>
      <c r="CN6" s="341" t="s">
        <v>831</v>
      </c>
      <c r="CO6" s="315" t="s">
        <v>457</v>
      </c>
      <c r="CP6" s="323" t="s">
        <v>676</v>
      </c>
      <c r="CQ6" s="334" t="s">
        <v>520</v>
      </c>
      <c r="CR6" s="315" t="s">
        <v>80</v>
      </c>
      <c r="CS6" s="315" t="s">
        <v>680</v>
      </c>
      <c r="CT6" s="315" t="s">
        <v>794</v>
      </c>
      <c r="CU6" s="21" t="s">
        <v>172</v>
      </c>
      <c r="CV6" s="317" t="s">
        <v>796</v>
      </c>
      <c r="CW6" s="342" t="s">
        <v>917</v>
      </c>
      <c r="CX6" s="342" t="s">
        <v>851</v>
      </c>
      <c r="CY6" s="342" t="s">
        <v>935</v>
      </c>
      <c r="CZ6" s="325" t="s">
        <v>698</v>
      </c>
      <c r="DA6" s="317" t="s">
        <v>173</v>
      </c>
      <c r="DB6" s="337" t="s">
        <v>73</v>
      </c>
      <c r="DC6" s="315" t="s">
        <v>767</v>
      </c>
      <c r="DD6" s="315" t="s">
        <v>790</v>
      </c>
      <c r="DE6" s="21" t="s">
        <v>167</v>
      </c>
      <c r="DF6" s="317" t="s">
        <v>40</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c r="A7" s="4"/>
      <c r="B7" s="310">
        <v>5</v>
      </c>
      <c r="C7" s="280" t="s">
        <v>966</v>
      </c>
      <c r="D7" s="281" t="str">
        <f t="shared" si="1"/>
        <v>Ghoul Runner </v>
      </c>
      <c r="E7" s="8">
        <f t="shared" si="2"/>
        <v>7</v>
      </c>
      <c r="F7" s="9">
        <f t="shared" si="3"/>
        <v>3</v>
      </c>
      <c r="G7" s="10">
        <f t="shared" si="4"/>
        <v>3</v>
      </c>
      <c r="H7" s="11">
        <f t="shared" si="5"/>
        <v>7</v>
      </c>
      <c r="I7" s="185" t="str">
        <f t="shared" si="6"/>
        <v>Dodge</v>
      </c>
      <c r="J7" s="249" t="str">
        <f t="shared" si="22"/>
        <v>Block, Tackle</v>
      </c>
      <c r="K7" s="279" t="str">
        <f t="shared" si="25"/>
        <v>2</v>
      </c>
      <c r="L7" s="288"/>
      <c r="M7" s="289"/>
      <c r="N7" s="309"/>
      <c r="O7" s="309"/>
      <c r="P7" s="302"/>
      <c r="Q7" s="303"/>
      <c r="R7" s="304"/>
      <c r="S7" s="305"/>
      <c r="T7" s="292"/>
      <c r="U7" s="293"/>
      <c r="V7" s="292">
        <v>1</v>
      </c>
      <c r="W7" s="293"/>
      <c r="X7" s="307"/>
      <c r="Y7" s="295">
        <v>3</v>
      </c>
      <c r="Z7" s="186">
        <f t="shared" si="7"/>
        <v>18</v>
      </c>
      <c r="AA7" s="114">
        <f t="shared" si="8"/>
        <v>110000</v>
      </c>
      <c r="AB7" s="296"/>
      <c r="AC7" s="297"/>
      <c r="AD7" s="253" t="str">
        <f t="shared" si="9"/>
        <v>Block</v>
      </c>
      <c r="AE7" s="253" t="str">
        <f t="shared" si="10"/>
        <v>, Tackle</v>
      </c>
      <c r="AF7" s="253">
        <f t="shared" si="11"/>
      </c>
      <c r="AG7" s="253">
        <f t="shared" si="12"/>
      </c>
      <c r="AH7" s="253">
        <f t="shared" si="13"/>
      </c>
      <c r="AI7" s="253">
        <f t="shared" si="14"/>
      </c>
      <c r="AJ7" s="313"/>
      <c r="AK7" s="205"/>
      <c r="AL7" s="250">
        <v>6</v>
      </c>
      <c r="AM7" s="250">
        <v>18</v>
      </c>
      <c r="AN7" s="250">
        <v>1</v>
      </c>
      <c r="AO7" s="250">
        <v>1</v>
      </c>
      <c r="AP7" s="250">
        <v>1</v>
      </c>
      <c r="AQ7" s="250">
        <v>1</v>
      </c>
      <c r="AR7" s="35">
        <v>3</v>
      </c>
      <c r="AS7" s="30">
        <f t="shared" si="15"/>
        <v>7</v>
      </c>
      <c r="AT7" s="30">
        <f t="shared" si="16"/>
        <v>3</v>
      </c>
      <c r="AU7" s="30">
        <f t="shared" si="17"/>
        <v>3</v>
      </c>
      <c r="AV7" s="30">
        <f t="shared" si="18"/>
        <v>7</v>
      </c>
      <c r="AW7" s="191">
        <f t="shared" si="19"/>
        <v>110000</v>
      </c>
      <c r="AX7" s="30"/>
      <c r="AY7" s="20">
        <f t="shared" si="23"/>
        <v>5</v>
      </c>
      <c r="AZ7" s="33" t="s">
        <v>424</v>
      </c>
      <c r="BA7" s="38">
        <v>6</v>
      </c>
      <c r="BB7" s="38">
        <v>3</v>
      </c>
      <c r="BC7" s="38">
        <v>3</v>
      </c>
      <c r="BD7" s="38">
        <v>7</v>
      </c>
      <c r="BE7" s="40" t="s">
        <v>249</v>
      </c>
      <c r="BF7" s="37">
        <v>50000</v>
      </c>
      <c r="BG7" s="189" t="s">
        <v>317</v>
      </c>
      <c r="BH7" s="189" t="s">
        <v>11</v>
      </c>
      <c r="BI7" s="189" t="s">
        <v>11</v>
      </c>
      <c r="BJ7" s="189" t="s">
        <v>11</v>
      </c>
      <c r="BK7" s="189" t="s">
        <v>11</v>
      </c>
      <c r="BL7" s="189" t="s">
        <v>11</v>
      </c>
      <c r="BM7" s="189">
        <v>11</v>
      </c>
      <c r="BN7" s="37"/>
      <c r="BO7" s="24">
        <v>6</v>
      </c>
      <c r="BP7" s="319" t="s">
        <v>28</v>
      </c>
      <c r="BQ7" s="23">
        <v>50000</v>
      </c>
      <c r="BR7" s="23" t="s">
        <v>61</v>
      </c>
      <c r="BS7" s="23" t="s">
        <v>344</v>
      </c>
      <c r="BT7" s="23"/>
      <c r="BU7" s="125">
        <f t="shared" si="20"/>
        <v>7</v>
      </c>
      <c r="BV7" s="20" t="str">
        <f t="shared" si="24"/>
        <v>*Wilhelm Chaney </v>
      </c>
      <c r="BW7" s="126" t="str">
        <f>HLOOKUP(I$21,CB$2:DF$18,7,FALSE)</f>
        <v>*Wilhelm Chaney </v>
      </c>
      <c r="BX7" s="23">
        <f t="shared" si="21"/>
        <v>0</v>
      </c>
      <c r="BY7" s="23">
        <f t="shared" si="0"/>
        <v>1</v>
      </c>
      <c r="BZ7" s="23"/>
      <c r="CA7" s="24">
        <v>5</v>
      </c>
      <c r="CB7" s="21" t="s">
        <v>108</v>
      </c>
      <c r="CC7" s="33" t="s">
        <v>576</v>
      </c>
      <c r="CD7" s="33" t="s">
        <v>151</v>
      </c>
      <c r="CE7" s="21" t="s">
        <v>90</v>
      </c>
      <c r="CF7" s="315" t="s">
        <v>819</v>
      </c>
      <c r="CG7" s="317" t="s">
        <v>43</v>
      </c>
      <c r="CH7" s="315" t="s">
        <v>176</v>
      </c>
      <c r="CI7" s="317" t="s">
        <v>99</v>
      </c>
      <c r="CJ7" s="315" t="s">
        <v>123</v>
      </c>
      <c r="CK7" s="334" t="s">
        <v>96</v>
      </c>
      <c r="CL7" s="317" t="s">
        <v>99</v>
      </c>
      <c r="CM7" s="315" t="s">
        <v>71</v>
      </c>
      <c r="CN7" s="342" t="s">
        <v>844</v>
      </c>
      <c r="CO7" s="334" t="s">
        <v>109</v>
      </c>
      <c r="CP7" s="21" t="s">
        <v>101</v>
      </c>
      <c r="CQ7" s="324" t="s">
        <v>144</v>
      </c>
      <c r="CR7" s="315" t="s">
        <v>768</v>
      </c>
      <c r="CS7" s="315" t="s">
        <v>763</v>
      </c>
      <c r="CT7" s="330" t="s">
        <v>800</v>
      </c>
      <c r="CU7" s="33" t="s">
        <v>90</v>
      </c>
      <c r="CV7" s="317" t="s">
        <v>29</v>
      </c>
      <c r="CW7" s="341" t="s">
        <v>76</v>
      </c>
      <c r="CX7" s="341" t="s">
        <v>853</v>
      </c>
      <c r="CY7" s="317" t="s">
        <v>132</v>
      </c>
      <c r="CZ7" s="325" t="s">
        <v>699</v>
      </c>
      <c r="DA7" s="315" t="s">
        <v>76</v>
      </c>
      <c r="DB7" s="338" t="s">
        <v>144</v>
      </c>
      <c r="DC7" s="315" t="s">
        <v>772</v>
      </c>
      <c r="DD7" s="315" t="s">
        <v>779</v>
      </c>
      <c r="DE7" s="315" t="s">
        <v>142</v>
      </c>
      <c r="DF7" s="315" t="s">
        <v>75</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c r="A8" s="4"/>
      <c r="B8" s="311">
        <v>6</v>
      </c>
      <c r="C8" s="280" t="s">
        <v>956</v>
      </c>
      <c r="D8" s="281" t="str">
        <f t="shared" si="1"/>
        <v>Flesh Golem</v>
      </c>
      <c r="E8" s="8">
        <f t="shared" si="2"/>
        <v>4</v>
      </c>
      <c r="F8" s="9">
        <f t="shared" si="3"/>
        <v>4</v>
      </c>
      <c r="G8" s="10">
        <f t="shared" si="4"/>
        <v>2</v>
      </c>
      <c r="H8" s="11">
        <f t="shared" si="5"/>
        <v>9</v>
      </c>
      <c r="I8" s="185" t="str">
        <f t="shared" si="6"/>
        <v>Stand Firm, Regeneration, Thick Skull</v>
      </c>
      <c r="J8" s="249" t="str">
        <f t="shared" si="22"/>
        <v>Guard, Block</v>
      </c>
      <c r="K8" s="279" t="str">
        <f t="shared" si="25"/>
        <v>2</v>
      </c>
      <c r="L8" s="288"/>
      <c r="M8" s="289"/>
      <c r="N8" s="309"/>
      <c r="O8" s="309"/>
      <c r="P8" s="302"/>
      <c r="Q8" s="303"/>
      <c r="R8" s="304"/>
      <c r="S8" s="305"/>
      <c r="T8" s="292"/>
      <c r="U8" s="293">
        <v>1</v>
      </c>
      <c r="V8" s="292"/>
      <c r="W8" s="293">
        <v>4</v>
      </c>
      <c r="X8" s="307"/>
      <c r="Y8" s="295">
        <v>3</v>
      </c>
      <c r="Z8" s="186">
        <f t="shared" si="7"/>
        <v>24</v>
      </c>
      <c r="AA8" s="114">
        <f t="shared" si="8"/>
        <v>150000</v>
      </c>
      <c r="AB8" s="296"/>
      <c r="AC8" s="297"/>
      <c r="AD8" s="253" t="str">
        <f t="shared" si="9"/>
        <v>Guard</v>
      </c>
      <c r="AE8" s="253" t="str">
        <f t="shared" si="10"/>
        <v>, Block</v>
      </c>
      <c r="AF8" s="253">
        <f t="shared" si="11"/>
      </c>
      <c r="AG8" s="253">
        <f t="shared" si="12"/>
      </c>
      <c r="AH8" s="253">
        <f t="shared" si="13"/>
      </c>
      <c r="AI8" s="253">
        <f t="shared" si="14"/>
      </c>
      <c r="AJ8" s="313"/>
      <c r="AK8" s="205"/>
      <c r="AL8" s="250">
        <v>39</v>
      </c>
      <c r="AM8" s="250">
        <v>6</v>
      </c>
      <c r="AN8" s="250">
        <v>1</v>
      </c>
      <c r="AO8" s="250">
        <v>1</v>
      </c>
      <c r="AP8" s="250">
        <v>1</v>
      </c>
      <c r="AQ8" s="250">
        <v>1</v>
      </c>
      <c r="AR8" s="35">
        <v>5</v>
      </c>
      <c r="AS8" s="30">
        <f t="shared" si="15"/>
        <v>4</v>
      </c>
      <c r="AT8" s="30">
        <f t="shared" si="16"/>
        <v>4</v>
      </c>
      <c r="AU8" s="30">
        <f t="shared" si="17"/>
        <v>2</v>
      </c>
      <c r="AV8" s="30">
        <f t="shared" si="18"/>
        <v>9</v>
      </c>
      <c r="AW8" s="191">
        <f t="shared" si="19"/>
        <v>150000</v>
      </c>
      <c r="AX8" s="30"/>
      <c r="AY8" s="20">
        <f t="shared" si="23"/>
        <v>6</v>
      </c>
      <c r="AZ8" s="315" t="s">
        <v>751</v>
      </c>
      <c r="BA8" s="38">
        <v>6</v>
      </c>
      <c r="BB8" s="38">
        <v>3</v>
      </c>
      <c r="BC8" s="38">
        <v>3</v>
      </c>
      <c r="BD8" s="38">
        <v>8</v>
      </c>
      <c r="BE8" s="40" t="s">
        <v>391</v>
      </c>
      <c r="BF8" s="37">
        <v>60000</v>
      </c>
      <c r="BG8" s="37" t="s">
        <v>178</v>
      </c>
      <c r="BH8" s="37">
        <v>20</v>
      </c>
      <c r="BI8" s="37">
        <v>30</v>
      </c>
      <c r="BJ8" s="37">
        <v>30</v>
      </c>
      <c r="BK8" s="37">
        <v>20</v>
      </c>
      <c r="BL8" s="37">
        <v>20</v>
      </c>
      <c r="BM8" s="37">
        <v>16</v>
      </c>
      <c r="BN8" s="37"/>
      <c r="BO8" s="24">
        <v>7</v>
      </c>
      <c r="BP8" s="319" t="s">
        <v>30</v>
      </c>
      <c r="BQ8" s="23">
        <v>50000</v>
      </c>
      <c r="BR8" s="23" t="s">
        <v>115</v>
      </c>
      <c r="BS8" s="23" t="s">
        <v>344</v>
      </c>
      <c r="BT8" s="23"/>
      <c r="BU8" s="125">
        <f t="shared" si="20"/>
        <v>8</v>
      </c>
      <c r="BV8" s="20" t="str">
        <f t="shared" si="24"/>
        <v>*Ramtut III</v>
      </c>
      <c r="BW8" s="126" t="str">
        <f>HLOOKUP(I$21,CB$2:DF$18,8,FALSE)</f>
        <v>*Ramtut III</v>
      </c>
      <c r="BX8" s="23">
        <f t="shared" si="21"/>
        <v>0</v>
      </c>
      <c r="BY8" s="23">
        <f t="shared" si="0"/>
        <v>1</v>
      </c>
      <c r="BZ8" s="23"/>
      <c r="CA8" s="24">
        <v>6</v>
      </c>
      <c r="CB8" s="315" t="s">
        <v>142</v>
      </c>
      <c r="CC8" s="33" t="s">
        <v>106</v>
      </c>
      <c r="CD8" s="334" t="s">
        <v>100</v>
      </c>
      <c r="CE8" s="334" t="s">
        <v>102</v>
      </c>
      <c r="CF8" s="317" t="s">
        <v>747</v>
      </c>
      <c r="CG8" s="317" t="s">
        <v>97</v>
      </c>
      <c r="CH8" s="317" t="s">
        <v>132</v>
      </c>
      <c r="CI8" s="317" t="s">
        <v>95</v>
      </c>
      <c r="CJ8" s="367" t="s">
        <v>879</v>
      </c>
      <c r="CK8" s="317" t="s">
        <v>94</v>
      </c>
      <c r="CL8" s="315" t="s">
        <v>136</v>
      </c>
      <c r="CM8" s="317" t="s">
        <v>107</v>
      </c>
      <c r="CN8" s="317" t="s">
        <v>107</v>
      </c>
      <c r="CO8" s="21" t="s">
        <v>140</v>
      </c>
      <c r="CP8" s="317" t="s">
        <v>94</v>
      </c>
      <c r="CQ8" s="315" t="s">
        <v>142</v>
      </c>
      <c r="CR8" s="334" t="s">
        <v>167</v>
      </c>
      <c r="CS8" s="315" t="s">
        <v>681</v>
      </c>
      <c r="CT8" s="33" t="s">
        <v>151</v>
      </c>
      <c r="CU8" s="324" t="s">
        <v>496</v>
      </c>
      <c r="CV8" s="315" t="s">
        <v>72</v>
      </c>
      <c r="CW8" s="21" t="s">
        <v>522</v>
      </c>
      <c r="CX8" s="344" t="s">
        <v>854</v>
      </c>
      <c r="CY8" s="33" t="s">
        <v>134</v>
      </c>
      <c r="CZ8" s="33" t="s">
        <v>142</v>
      </c>
      <c r="DA8" s="21" t="s">
        <v>522</v>
      </c>
      <c r="DB8" s="338" t="s">
        <v>142</v>
      </c>
      <c r="DC8" s="21" t="s">
        <v>105</v>
      </c>
      <c r="DD8" s="21" t="s">
        <v>172</v>
      </c>
      <c r="DE8" s="317" t="s">
        <v>94</v>
      </c>
      <c r="DF8" s="317" t="s">
        <v>95</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c r="A9" s="4"/>
      <c r="B9" s="310">
        <v>7</v>
      </c>
      <c r="C9" s="280" t="s">
        <v>958</v>
      </c>
      <c r="D9" s="281" t="str">
        <f t="shared" si="1"/>
        <v>Flesh Golem</v>
      </c>
      <c r="E9" s="8">
        <f t="shared" si="2"/>
        <v>4</v>
      </c>
      <c r="F9" s="9">
        <f t="shared" si="3"/>
        <v>4</v>
      </c>
      <c r="G9" s="10">
        <f t="shared" si="4"/>
        <v>2</v>
      </c>
      <c r="H9" s="11">
        <f t="shared" si="5"/>
        <v>9</v>
      </c>
      <c r="I9" s="185" t="str">
        <f t="shared" si="6"/>
        <v>Stand Firm, Regeneration, Thick Skull</v>
      </c>
      <c r="J9" s="249" t="str">
        <f t="shared" si="22"/>
        <v>Block, Guard</v>
      </c>
      <c r="K9" s="279" t="str">
        <f t="shared" si="25"/>
        <v>2</v>
      </c>
      <c r="L9" s="288"/>
      <c r="M9" s="289"/>
      <c r="N9" s="309"/>
      <c r="O9" s="309"/>
      <c r="P9" s="302"/>
      <c r="Q9" s="303"/>
      <c r="R9" s="304"/>
      <c r="S9" s="305"/>
      <c r="T9" s="292"/>
      <c r="U9" s="293">
        <v>1</v>
      </c>
      <c r="V9" s="292"/>
      <c r="W9" s="293">
        <v>5</v>
      </c>
      <c r="X9" s="307"/>
      <c r="Y9" s="295">
        <v>2</v>
      </c>
      <c r="Z9" s="186">
        <f t="shared" si="7"/>
        <v>21</v>
      </c>
      <c r="AA9" s="114">
        <f t="shared" si="8"/>
        <v>150000</v>
      </c>
      <c r="AB9" s="296"/>
      <c r="AC9" s="297"/>
      <c r="AD9" s="253" t="str">
        <f t="shared" si="9"/>
        <v>Block</v>
      </c>
      <c r="AE9" s="253" t="str">
        <f t="shared" si="10"/>
        <v>, Guard</v>
      </c>
      <c r="AF9" s="253">
        <f t="shared" si="11"/>
      </c>
      <c r="AG9" s="253">
        <f t="shared" si="12"/>
      </c>
      <c r="AH9" s="253">
        <f t="shared" si="13"/>
      </c>
      <c r="AI9" s="253">
        <f t="shared" si="14"/>
      </c>
      <c r="AJ9" s="313"/>
      <c r="AK9" s="205"/>
      <c r="AL9" s="250">
        <v>6</v>
      </c>
      <c r="AM9" s="250">
        <v>39</v>
      </c>
      <c r="AN9" s="250">
        <v>1</v>
      </c>
      <c r="AO9" s="250">
        <v>1</v>
      </c>
      <c r="AP9" s="250">
        <v>1</v>
      </c>
      <c r="AQ9" s="250">
        <v>1</v>
      </c>
      <c r="AR9" s="35">
        <v>5</v>
      </c>
      <c r="AS9" s="30">
        <f t="shared" si="15"/>
        <v>4</v>
      </c>
      <c r="AT9" s="30">
        <f t="shared" si="16"/>
        <v>4</v>
      </c>
      <c r="AU9" s="30">
        <f t="shared" si="17"/>
        <v>2</v>
      </c>
      <c r="AV9" s="30">
        <f t="shared" si="18"/>
        <v>9</v>
      </c>
      <c r="AW9" s="191">
        <f t="shared" si="19"/>
        <v>150000</v>
      </c>
      <c r="AX9" s="30"/>
      <c r="AY9" s="20">
        <f t="shared" si="23"/>
        <v>7</v>
      </c>
      <c r="AZ9" s="315" t="s">
        <v>752</v>
      </c>
      <c r="BA9" s="38">
        <v>5</v>
      </c>
      <c r="BB9" s="38">
        <v>4</v>
      </c>
      <c r="BC9" s="38">
        <v>3</v>
      </c>
      <c r="BD9" s="38">
        <v>9</v>
      </c>
      <c r="BF9" s="37">
        <v>100000</v>
      </c>
      <c r="BG9" s="37" t="s">
        <v>179</v>
      </c>
      <c r="BH9" s="37">
        <v>20</v>
      </c>
      <c r="BI9" s="37">
        <v>30</v>
      </c>
      <c r="BJ9" s="37">
        <v>30</v>
      </c>
      <c r="BK9" s="37">
        <v>20</v>
      </c>
      <c r="BL9" s="37">
        <v>20</v>
      </c>
      <c r="BM9" s="37">
        <v>4</v>
      </c>
      <c r="BN9" s="37"/>
      <c r="BO9" s="24">
        <v>8</v>
      </c>
      <c r="BP9" s="319" t="s">
        <v>782</v>
      </c>
      <c r="BQ9" s="23">
        <v>50000</v>
      </c>
      <c r="BR9" s="23" t="s">
        <v>78</v>
      </c>
      <c r="BS9" s="23" t="s">
        <v>344</v>
      </c>
      <c r="BT9" s="23"/>
      <c r="BU9" s="125">
        <f t="shared" si="20"/>
        <v>9</v>
      </c>
      <c r="BV9" s="20" t="str">
        <f t="shared" si="24"/>
        <v>*Count Luthor</v>
      </c>
      <c r="BW9" s="126" t="str">
        <f>HLOOKUP(I$21,CB$2:DF$18,9,FALSE)</f>
        <v>*Count Luthor</v>
      </c>
      <c r="BX9" s="23">
        <f t="shared" si="21"/>
        <v>0</v>
      </c>
      <c r="BY9" s="23">
        <f t="shared" si="0"/>
        <v>1</v>
      </c>
      <c r="BZ9" s="23"/>
      <c r="CA9" s="24">
        <v>7</v>
      </c>
      <c r="CB9" s="317" t="s">
        <v>94</v>
      </c>
      <c r="CC9" s="21" t="s">
        <v>108</v>
      </c>
      <c r="CD9" s="21" t="s">
        <v>101</v>
      </c>
      <c r="CE9" s="21" t="s">
        <v>101</v>
      </c>
      <c r="CF9" s="317" t="s">
        <v>748</v>
      </c>
      <c r="CG9" s="315" t="s">
        <v>136</v>
      </c>
      <c r="CH9" s="33" t="s">
        <v>134</v>
      </c>
      <c r="CI9" s="315" t="s">
        <v>136</v>
      </c>
      <c r="CJ9" s="315" t="s">
        <v>121</v>
      </c>
      <c r="CK9" s="21" t="s">
        <v>552</v>
      </c>
      <c r="CL9" s="33" t="s">
        <v>108</v>
      </c>
      <c r="CM9" s="315" t="s">
        <v>142</v>
      </c>
      <c r="CN9" s="344" t="s">
        <v>832</v>
      </c>
      <c r="CO9" s="21" t="s">
        <v>160</v>
      </c>
      <c r="CP9" s="323" t="s">
        <v>679</v>
      </c>
      <c r="CQ9" s="317" t="s">
        <v>94</v>
      </c>
      <c r="CR9" s="334" t="s">
        <v>109</v>
      </c>
      <c r="CS9" s="21" t="s">
        <v>108</v>
      </c>
      <c r="CT9" s="21" t="s">
        <v>604</v>
      </c>
      <c r="CU9" s="317" t="s">
        <v>94</v>
      </c>
      <c r="CV9" s="21" t="s">
        <v>91</v>
      </c>
      <c r="CW9" s="364" t="s">
        <v>888</v>
      </c>
      <c r="CX9" s="21" t="s">
        <v>172</v>
      </c>
      <c r="CY9" s="21" t="s">
        <v>137</v>
      </c>
      <c r="CZ9" s="21" t="s">
        <v>700</v>
      </c>
      <c r="DA9" s="364" t="s">
        <v>888</v>
      </c>
      <c r="DB9" s="337" t="s">
        <v>518</v>
      </c>
      <c r="DC9" s="334" t="s">
        <v>109</v>
      </c>
      <c r="DD9" s="21" t="s">
        <v>522</v>
      </c>
      <c r="DE9" s="21" t="s">
        <v>570</v>
      </c>
      <c r="DF9" s="315" t="s">
        <v>136</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c r="A10" s="4"/>
      <c r="B10" s="311">
        <v>8</v>
      </c>
      <c r="C10" s="280" t="s">
        <v>959</v>
      </c>
      <c r="D10" s="281" t="str">
        <f t="shared" si="1"/>
        <v>Zombie</v>
      </c>
      <c r="E10" s="8">
        <f t="shared" si="2"/>
        <v>4</v>
      </c>
      <c r="F10" s="9">
        <f t="shared" si="3"/>
        <v>3</v>
      </c>
      <c r="G10" s="10">
        <f t="shared" si="4"/>
        <v>2</v>
      </c>
      <c r="H10" s="11">
        <f t="shared" si="5"/>
        <v>8</v>
      </c>
      <c r="I10" s="185" t="str">
        <f t="shared" si="6"/>
        <v>Regeneration</v>
      </c>
      <c r="J10" s="249">
        <f t="shared" si="22"/>
      </c>
      <c r="K10" s="279">
        <f t="shared" si="25"/>
      </c>
      <c r="L10" s="288"/>
      <c r="M10" s="289"/>
      <c r="N10" s="309"/>
      <c r="O10" s="309"/>
      <c r="P10" s="302"/>
      <c r="Q10" s="303"/>
      <c r="R10" s="304"/>
      <c r="S10" s="305"/>
      <c r="T10" s="292"/>
      <c r="U10" s="293"/>
      <c r="V10" s="292"/>
      <c r="W10" s="293"/>
      <c r="X10" s="307"/>
      <c r="Y10" s="295"/>
      <c r="Z10" s="186">
        <f t="shared" si="7"/>
        <v>0</v>
      </c>
      <c r="AA10" s="114">
        <f t="shared" si="8"/>
        <v>40000</v>
      </c>
      <c r="AB10" s="296"/>
      <c r="AC10" s="297"/>
      <c r="AD10" s="253">
        <f t="shared" si="9"/>
      </c>
      <c r="AE10" s="253">
        <f t="shared" si="10"/>
      </c>
      <c r="AF10" s="253">
        <f t="shared" si="11"/>
      </c>
      <c r="AG10" s="253">
        <f t="shared" si="12"/>
      </c>
      <c r="AH10" s="253">
        <f t="shared" si="13"/>
      </c>
      <c r="AI10" s="253">
        <f t="shared" si="14"/>
      </c>
      <c r="AJ10" s="313"/>
      <c r="AK10" s="205"/>
      <c r="AL10" s="250">
        <v>1</v>
      </c>
      <c r="AM10" s="250">
        <v>1</v>
      </c>
      <c r="AN10" s="250">
        <v>1</v>
      </c>
      <c r="AO10" s="250">
        <v>1</v>
      </c>
      <c r="AP10" s="250">
        <v>1</v>
      </c>
      <c r="AQ10" s="250">
        <v>1</v>
      </c>
      <c r="AR10" s="35">
        <v>2</v>
      </c>
      <c r="AS10" s="30">
        <f t="shared" si="15"/>
        <v>4</v>
      </c>
      <c r="AT10" s="30">
        <f t="shared" si="16"/>
        <v>3</v>
      </c>
      <c r="AU10" s="30">
        <f t="shared" si="17"/>
        <v>2</v>
      </c>
      <c r="AV10" s="30">
        <f t="shared" si="18"/>
        <v>8</v>
      </c>
      <c r="AW10" s="191">
        <f t="shared" si="19"/>
        <v>40000</v>
      </c>
      <c r="AX10" s="30"/>
      <c r="AY10" s="20">
        <f t="shared" si="23"/>
        <v>8</v>
      </c>
      <c r="AZ10" s="315" t="s">
        <v>74</v>
      </c>
      <c r="BA10" s="38">
        <v>5</v>
      </c>
      <c r="BB10" s="38">
        <v>5</v>
      </c>
      <c r="BC10" s="38">
        <v>2</v>
      </c>
      <c r="BD10" s="38">
        <v>8</v>
      </c>
      <c r="BE10" s="40" t="s">
        <v>480</v>
      </c>
      <c r="BF10" s="37">
        <v>150000</v>
      </c>
      <c r="BG10" s="37" t="s">
        <v>315</v>
      </c>
      <c r="BH10" s="37">
        <v>30</v>
      </c>
      <c r="BI10" s="37">
        <v>30</v>
      </c>
      <c r="BJ10" s="37">
        <v>30</v>
      </c>
      <c r="BK10" s="37">
        <v>20</v>
      </c>
      <c r="BL10" s="37">
        <v>20</v>
      </c>
      <c r="BM10" s="37">
        <v>1</v>
      </c>
      <c r="BN10" s="189"/>
      <c r="BO10" s="24">
        <v>9</v>
      </c>
      <c r="BP10" s="319" t="s">
        <v>23</v>
      </c>
      <c r="BQ10" s="23">
        <v>60000</v>
      </c>
      <c r="BR10" s="23" t="s">
        <v>62</v>
      </c>
      <c r="BS10" s="23" t="s">
        <v>344</v>
      </c>
      <c r="BT10" s="23"/>
      <c r="BU10" s="125">
        <f>IF(BV10="","",BU9+1)</f>
        <v>10</v>
      </c>
      <c r="BV10" s="20" t="str">
        <f t="shared" si="24"/>
        <v>*Hack Enslash </v>
      </c>
      <c r="BW10" s="126" t="str">
        <f>HLOOKUP(I$21,CB$2:DF$18,10,FALSE)</f>
        <v>*Hack Enslash </v>
      </c>
      <c r="BX10" s="23">
        <f t="shared" si="21"/>
        <v>0</v>
      </c>
      <c r="BY10" s="23">
        <f t="shared" si="0"/>
        <v>1</v>
      </c>
      <c r="BZ10" s="23"/>
      <c r="CA10" s="24">
        <v>8</v>
      </c>
      <c r="CB10" s="21" t="s">
        <v>552</v>
      </c>
      <c r="CC10" s="21" t="s">
        <v>107</v>
      </c>
      <c r="CD10" s="317" t="s">
        <v>94</v>
      </c>
      <c r="CE10" s="334" t="s">
        <v>103</v>
      </c>
      <c r="CF10" s="317" t="s">
        <v>749</v>
      </c>
      <c r="CG10" s="33" t="s">
        <v>147</v>
      </c>
      <c r="CH10" s="21" t="s">
        <v>137</v>
      </c>
      <c r="CI10" s="33" t="s">
        <v>147</v>
      </c>
      <c r="CJ10" s="315" t="s">
        <v>437</v>
      </c>
      <c r="CK10" s="315" t="s">
        <v>576</v>
      </c>
      <c r="CL10" s="317" t="s">
        <v>94</v>
      </c>
      <c r="CM10" s="33" t="s">
        <v>155</v>
      </c>
      <c r="CN10" s="315" t="s">
        <v>142</v>
      </c>
      <c r="CO10" s="21" t="s">
        <v>568</v>
      </c>
      <c r="CP10" s="21"/>
      <c r="CQ10" s="21" t="s">
        <v>518</v>
      </c>
      <c r="CR10" s="21" t="s">
        <v>105</v>
      </c>
      <c r="CS10" s="315" t="s">
        <v>142</v>
      </c>
      <c r="CT10" s="21" t="s">
        <v>100</v>
      </c>
      <c r="CU10" s="21" t="s">
        <v>552</v>
      </c>
      <c r="CV10" s="21" t="s">
        <v>172</v>
      </c>
      <c r="CW10" s="33" t="s">
        <v>162</v>
      </c>
      <c r="CX10" s="33" t="s">
        <v>164</v>
      </c>
      <c r="CY10" s="317" t="s">
        <v>104</v>
      </c>
      <c r="CZ10" s="33" t="s">
        <v>106</v>
      </c>
      <c r="DA10" s="33" t="s">
        <v>162</v>
      </c>
      <c r="DB10" s="317" t="s">
        <v>94</v>
      </c>
      <c r="DC10" s="21" t="s">
        <v>140</v>
      </c>
      <c r="DD10" s="21" t="s">
        <v>567</v>
      </c>
      <c r="DE10" s="334" t="s">
        <v>598</v>
      </c>
      <c r="DF10" s="21" t="s">
        <v>108</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c r="A11" s="4"/>
      <c r="B11" s="310">
        <v>9</v>
      </c>
      <c r="C11" s="280" t="s">
        <v>960</v>
      </c>
      <c r="D11" s="281" t="str">
        <f t="shared" si="1"/>
        <v>Zombie</v>
      </c>
      <c r="E11" s="8">
        <f t="shared" si="2"/>
        <v>4</v>
      </c>
      <c r="F11" s="9">
        <f t="shared" si="3"/>
        <v>3</v>
      </c>
      <c r="G11" s="10">
        <f t="shared" si="4"/>
        <v>2</v>
      </c>
      <c r="H11" s="11">
        <f t="shared" si="5"/>
        <v>7</v>
      </c>
      <c r="I11" s="185" t="str">
        <f t="shared" si="6"/>
        <v>Regeneration</v>
      </c>
      <c r="J11" s="249" t="str">
        <f t="shared" si="22"/>
        <v>Block</v>
      </c>
      <c r="K11" s="279" t="str">
        <f t="shared" si="25"/>
        <v>1</v>
      </c>
      <c r="L11" s="288"/>
      <c r="M11" s="289"/>
      <c r="N11" s="309">
        <v>1</v>
      </c>
      <c r="O11" s="309"/>
      <c r="P11" s="302"/>
      <c r="Q11" s="303"/>
      <c r="R11" s="304"/>
      <c r="S11" s="305">
        <v>-1</v>
      </c>
      <c r="T11" s="292"/>
      <c r="U11" s="293">
        <v>1</v>
      </c>
      <c r="V11" s="292"/>
      <c r="W11" s="293">
        <v>2</v>
      </c>
      <c r="X11" s="307"/>
      <c r="Y11" s="295">
        <v>1</v>
      </c>
      <c r="Z11" s="186">
        <f t="shared" si="7"/>
        <v>10</v>
      </c>
      <c r="AA11" s="114">
        <f t="shared" si="8"/>
        <v>60000</v>
      </c>
      <c r="AB11" s="296"/>
      <c r="AC11" s="297"/>
      <c r="AD11" s="253" t="str">
        <f t="shared" si="9"/>
        <v>Block</v>
      </c>
      <c r="AE11" s="253">
        <f t="shared" si="10"/>
      </c>
      <c r="AF11" s="253">
        <f t="shared" si="11"/>
      </c>
      <c r="AG11" s="253">
        <f t="shared" si="12"/>
      </c>
      <c r="AH11" s="253">
        <f t="shared" si="13"/>
      </c>
      <c r="AI11" s="253">
        <f t="shared" si="14"/>
      </c>
      <c r="AJ11" s="313"/>
      <c r="AK11" s="205"/>
      <c r="AL11" s="250">
        <v>6</v>
      </c>
      <c r="AM11" s="250">
        <v>1</v>
      </c>
      <c r="AN11" s="250">
        <v>1</v>
      </c>
      <c r="AO11" s="250">
        <v>1</v>
      </c>
      <c r="AP11" s="250">
        <v>1</v>
      </c>
      <c r="AQ11" s="250">
        <v>1</v>
      </c>
      <c r="AR11" s="35">
        <v>2</v>
      </c>
      <c r="AS11" s="30">
        <f t="shared" si="15"/>
        <v>4</v>
      </c>
      <c r="AT11" s="30">
        <f t="shared" si="16"/>
        <v>3</v>
      </c>
      <c r="AU11" s="30">
        <f t="shared" si="17"/>
        <v>2</v>
      </c>
      <c r="AV11" s="30">
        <f t="shared" si="18"/>
        <v>8</v>
      </c>
      <c r="AW11" s="191">
        <f t="shared" si="19"/>
        <v>0</v>
      </c>
      <c r="AX11" s="30"/>
      <c r="AY11" s="20">
        <f t="shared" si="23"/>
        <v>9</v>
      </c>
      <c r="AZ11" s="33" t="s">
        <v>871</v>
      </c>
      <c r="BA11" s="38">
        <v>6</v>
      </c>
      <c r="BB11" s="38">
        <v>3</v>
      </c>
      <c r="BC11" s="38">
        <v>3</v>
      </c>
      <c r="BD11" s="38">
        <v>8</v>
      </c>
      <c r="BE11" s="40" t="s">
        <v>250</v>
      </c>
      <c r="BF11" s="37">
        <v>60000</v>
      </c>
      <c r="BG11" s="189" t="s">
        <v>429</v>
      </c>
      <c r="BH11" s="189" t="s">
        <v>11</v>
      </c>
      <c r="BI11" s="189" t="s">
        <v>11</v>
      </c>
      <c r="BJ11" s="189" t="s">
        <v>11</v>
      </c>
      <c r="BK11" s="189" t="s">
        <v>11</v>
      </c>
      <c r="BL11" s="189" t="s">
        <v>11</v>
      </c>
      <c r="BM11" s="189">
        <v>11</v>
      </c>
      <c r="BN11" s="37"/>
      <c r="BO11" s="24">
        <v>10</v>
      </c>
      <c r="BP11" s="319" t="s">
        <v>31</v>
      </c>
      <c r="BQ11" s="23">
        <v>60000</v>
      </c>
      <c r="BR11" s="23" t="s">
        <v>114</v>
      </c>
      <c r="BS11" s="23" t="s">
        <v>344</v>
      </c>
      <c r="BT11" s="23"/>
      <c r="BU11" s="125">
        <f t="shared" si="20"/>
        <v>11</v>
      </c>
      <c r="BV11" s="20" t="str">
        <f t="shared" si="24"/>
        <v>*Setekh </v>
      </c>
      <c r="BW11" s="126" t="str">
        <f>HLOOKUP(I$21,CB$2:DF$18,11,FALSE)</f>
        <v>*Setekh </v>
      </c>
      <c r="BX11" s="23">
        <f t="shared" si="21"/>
        <v>0</v>
      </c>
      <c r="BY11" s="23">
        <f t="shared" si="0"/>
        <v>1</v>
      </c>
      <c r="BZ11" s="23"/>
      <c r="CA11" s="24">
        <v>9</v>
      </c>
      <c r="CB11" s="315" t="s">
        <v>573</v>
      </c>
      <c r="CC11" s="317" t="s">
        <v>94</v>
      </c>
      <c r="CD11" s="334" t="s">
        <v>604</v>
      </c>
      <c r="CE11" s="33" t="s">
        <v>171</v>
      </c>
      <c r="CF11" s="21" t="s">
        <v>172</v>
      </c>
      <c r="CG11" s="317" t="s">
        <v>94</v>
      </c>
      <c r="CH11" s="317" t="s">
        <v>104</v>
      </c>
      <c r="CI11" s="317" t="s">
        <v>94</v>
      </c>
      <c r="CJ11" s="317" t="s">
        <v>91</v>
      </c>
      <c r="CK11" s="364" t="s">
        <v>886</v>
      </c>
      <c r="CL11" s="33" t="s">
        <v>566</v>
      </c>
      <c r="CM11" s="315" t="s">
        <v>106</v>
      </c>
      <c r="CN11" s="33" t="s">
        <v>155</v>
      </c>
      <c r="CO11" s="21" t="s">
        <v>569</v>
      </c>
      <c r="CP11" s="21"/>
      <c r="CQ11" s="21" t="s">
        <v>519</v>
      </c>
      <c r="CR11" s="21" t="s">
        <v>140</v>
      </c>
      <c r="CS11" s="21" t="s">
        <v>134</v>
      </c>
      <c r="CT11" s="21" t="s">
        <v>101</v>
      </c>
      <c r="CU11" s="315" t="s">
        <v>776</v>
      </c>
      <c r="CV11" s="324" t="s">
        <v>164</v>
      </c>
      <c r="CW11" s="359" t="s">
        <v>884</v>
      </c>
      <c r="CX11" s="366" t="s">
        <v>93</v>
      </c>
      <c r="CY11" s="344" t="s">
        <v>933</v>
      </c>
      <c r="CZ11" s="277" t="s">
        <v>701</v>
      </c>
      <c r="DA11" s="359" t="s">
        <v>884</v>
      </c>
      <c r="DB11" s="337" t="s">
        <v>519</v>
      </c>
      <c r="DC11" s="21" t="s">
        <v>160</v>
      </c>
      <c r="DD11" s="317" t="s">
        <v>94</v>
      </c>
      <c r="DE11" s="315" t="s">
        <v>683</v>
      </c>
      <c r="DF11" s="317" t="s">
        <v>94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c r="A12" s="4"/>
      <c r="B12" s="311">
        <v>10</v>
      </c>
      <c r="C12" s="280"/>
      <c r="D12" s="281">
        <f t="shared" si="1"/>
      </c>
      <c r="E12" s="8">
        <f t="shared" si="2"/>
      </c>
      <c r="F12" s="9">
        <f t="shared" si="3"/>
      </c>
      <c r="G12" s="10">
        <f t="shared" si="4"/>
      </c>
      <c r="H12" s="11">
        <f t="shared" si="5"/>
      </c>
      <c r="I12" s="185">
        <f t="shared" si="6"/>
      </c>
      <c r="J12" s="249">
        <f t="shared" si="22"/>
      </c>
      <c r="K12" s="279">
        <f t="shared" si="25"/>
      </c>
      <c r="L12" s="288"/>
      <c r="M12" s="289"/>
      <c r="N12" s="309"/>
      <c r="O12" s="309"/>
      <c r="P12" s="302"/>
      <c r="Q12" s="303"/>
      <c r="R12" s="304"/>
      <c r="S12" s="305"/>
      <c r="T12" s="292"/>
      <c r="U12" s="293"/>
      <c r="V12" s="292"/>
      <c r="W12" s="293"/>
      <c r="X12" s="307"/>
      <c r="Y12" s="295"/>
      <c r="Z12" s="186">
        <f t="shared" si="7"/>
        <v>0</v>
      </c>
      <c r="AA12" s="114">
        <f t="shared" si="8"/>
        <v>0</v>
      </c>
      <c r="AB12" s="296"/>
      <c r="AC12" s="297"/>
      <c r="AD12" s="253">
        <f t="shared" si="9"/>
      </c>
      <c r="AE12" s="253">
        <f t="shared" si="10"/>
      </c>
      <c r="AF12" s="253">
        <f t="shared" si="11"/>
      </c>
      <c r="AG12" s="253">
        <f t="shared" si="12"/>
      </c>
      <c r="AH12" s="253">
        <f t="shared" si="13"/>
      </c>
      <c r="AI12" s="253">
        <f t="shared" si="14"/>
      </c>
      <c r="AJ12" s="313"/>
      <c r="AK12" s="205"/>
      <c r="AL12" s="250">
        <v>1</v>
      </c>
      <c r="AM12" s="250">
        <v>1</v>
      </c>
      <c r="AN12" s="250">
        <v>1</v>
      </c>
      <c r="AO12" s="250">
        <v>1</v>
      </c>
      <c r="AP12" s="250">
        <v>1</v>
      </c>
      <c r="AQ12" s="250">
        <v>1</v>
      </c>
      <c r="AR12" s="35">
        <v>1</v>
      </c>
      <c r="AS12" s="30" t="e">
        <f t="shared" si="15"/>
        <v>#N/A</v>
      </c>
      <c r="AT12" s="30" t="e">
        <f t="shared" si="16"/>
        <v>#N/A</v>
      </c>
      <c r="AU12" s="30" t="e">
        <f t="shared" si="17"/>
        <v>#N/A</v>
      </c>
      <c r="AV12" s="30" t="e">
        <f t="shared" si="18"/>
        <v>#N/A</v>
      </c>
      <c r="AW12" s="191">
        <f t="shared" si="19"/>
        <v>0</v>
      </c>
      <c r="AX12" s="30"/>
      <c r="AY12" s="20">
        <f t="shared" si="23"/>
        <v>10</v>
      </c>
      <c r="AZ12" s="315" t="s">
        <v>739</v>
      </c>
      <c r="BA12" s="38">
        <v>6</v>
      </c>
      <c r="BB12" s="38">
        <v>3</v>
      </c>
      <c r="BC12" s="38">
        <v>3</v>
      </c>
      <c r="BD12" s="38">
        <v>7</v>
      </c>
      <c r="BF12" s="37">
        <v>40000</v>
      </c>
      <c r="BG12" s="37" t="s">
        <v>180</v>
      </c>
      <c r="BH12" s="37">
        <v>20</v>
      </c>
      <c r="BI12" s="37">
        <v>30</v>
      </c>
      <c r="BJ12" s="37">
        <v>30</v>
      </c>
      <c r="BK12" s="37">
        <v>30</v>
      </c>
      <c r="BL12" s="37" t="s">
        <v>11</v>
      </c>
      <c r="BM12" s="37">
        <v>16</v>
      </c>
      <c r="BN12" s="37"/>
      <c r="BO12" s="24">
        <v>11</v>
      </c>
      <c r="BP12" s="319" t="s">
        <v>19</v>
      </c>
      <c r="BQ12" s="23">
        <v>50000</v>
      </c>
      <c r="BR12" s="23" t="s">
        <v>63</v>
      </c>
      <c r="BS12" s="23" t="s">
        <v>344</v>
      </c>
      <c r="BT12" s="23"/>
      <c r="BU12" s="125">
        <f t="shared" si="20"/>
        <v>12</v>
      </c>
      <c r="BV12" s="20" t="str">
        <f t="shared" si="24"/>
        <v>*J Earlice</v>
      </c>
      <c r="BW12" s="126" t="str">
        <f>HLOOKUP(I$21,CB$2:DF$18,12,FALSE)</f>
        <v>*J Earlice</v>
      </c>
      <c r="BX12" s="23">
        <f t="shared" si="21"/>
        <v>0</v>
      </c>
      <c r="BY12" s="23">
        <f t="shared" si="0"/>
        <v>1</v>
      </c>
      <c r="BZ12" s="23"/>
      <c r="CA12" s="24">
        <v>10</v>
      </c>
      <c r="CB12" s="315" t="s">
        <v>576</v>
      </c>
      <c r="CC12" s="323" t="s">
        <v>688</v>
      </c>
      <c r="CD12" s="315" t="s">
        <v>870</v>
      </c>
      <c r="CE12" s="317" t="s">
        <v>94</v>
      </c>
      <c r="CF12" s="21" t="s">
        <v>598</v>
      </c>
      <c r="CG12" s="44" t="s">
        <v>569</v>
      </c>
      <c r="CH12" s="33" t="s">
        <v>108</v>
      </c>
      <c r="CI12" s="33" t="s">
        <v>566</v>
      </c>
      <c r="CJ12" s="21" t="s">
        <v>92</v>
      </c>
      <c r="CK12" s="315" t="s">
        <v>533</v>
      </c>
      <c r="CL12" s="44" t="s">
        <v>575</v>
      </c>
      <c r="CM12" s="317" t="s">
        <v>94</v>
      </c>
      <c r="CN12" s="315" t="s">
        <v>106</v>
      </c>
      <c r="CO12" s="21" t="s">
        <v>574</v>
      </c>
      <c r="CP12" s="21"/>
      <c r="CQ12" s="315" t="s">
        <v>529</v>
      </c>
      <c r="CR12" s="21" t="s">
        <v>160</v>
      </c>
      <c r="CS12" s="334" t="s">
        <v>148</v>
      </c>
      <c r="CT12" s="33" t="s">
        <v>496</v>
      </c>
      <c r="CU12" s="44"/>
      <c r="CV12" s="317" t="s">
        <v>93</v>
      </c>
      <c r="CW12" s="317" t="s">
        <v>89</v>
      </c>
      <c r="CX12" s="317" t="s">
        <v>892</v>
      </c>
      <c r="CY12" s="33" t="s">
        <v>108</v>
      </c>
      <c r="CZ12" s="21" t="s">
        <v>107</v>
      </c>
      <c r="DA12" s="317" t="s">
        <v>89</v>
      </c>
      <c r="DB12" s="338" t="s">
        <v>520</v>
      </c>
      <c r="DC12" s="21" t="s">
        <v>570</v>
      </c>
      <c r="DD12" s="33" t="s">
        <v>90</v>
      </c>
      <c r="DE12" s="21"/>
      <c r="DF12" s="33" t="s">
        <v>566</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c r="A13" s="4"/>
      <c r="B13" s="310">
        <v>11</v>
      </c>
      <c r="C13" s="280"/>
      <c r="D13" s="281">
        <f t="shared" si="1"/>
      </c>
      <c r="E13" s="8">
        <f t="shared" si="2"/>
      </c>
      <c r="F13" s="9">
        <f t="shared" si="3"/>
      </c>
      <c r="G13" s="10">
        <f t="shared" si="4"/>
      </c>
      <c r="H13" s="11">
        <f t="shared" si="5"/>
      </c>
      <c r="I13" s="185">
        <f t="shared" si="6"/>
      </c>
      <c r="J13" s="249">
        <f t="shared" si="22"/>
      </c>
      <c r="K13" s="279">
        <f t="shared" si="25"/>
      </c>
      <c r="L13" s="288"/>
      <c r="M13" s="289"/>
      <c r="N13" s="309"/>
      <c r="O13" s="309"/>
      <c r="P13" s="302"/>
      <c r="Q13" s="303"/>
      <c r="R13" s="304"/>
      <c r="S13" s="305"/>
      <c r="T13" s="292"/>
      <c r="U13" s="293"/>
      <c r="V13" s="292"/>
      <c r="W13" s="293"/>
      <c r="X13" s="307"/>
      <c r="Y13" s="295"/>
      <c r="Z13" s="186">
        <f t="shared" si="7"/>
        <v>0</v>
      </c>
      <c r="AA13" s="114">
        <f t="shared" si="8"/>
        <v>0</v>
      </c>
      <c r="AB13" s="296"/>
      <c r="AC13" s="297"/>
      <c r="AD13" s="253">
        <f t="shared" si="9"/>
      </c>
      <c r="AE13" s="253">
        <f t="shared" si="10"/>
      </c>
      <c r="AF13" s="253">
        <f t="shared" si="11"/>
      </c>
      <c r="AG13" s="253">
        <f t="shared" si="12"/>
      </c>
      <c r="AH13" s="253">
        <f t="shared" si="13"/>
      </c>
      <c r="AI13" s="253">
        <f t="shared" si="14"/>
      </c>
      <c r="AJ13" s="313"/>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15" t="s">
        <v>52</v>
      </c>
      <c r="BA13" s="38">
        <v>4</v>
      </c>
      <c r="BB13" s="38">
        <v>3</v>
      </c>
      <c r="BC13" s="38">
        <v>2</v>
      </c>
      <c r="BD13" s="38">
        <v>9</v>
      </c>
      <c r="BE13" s="40" t="s">
        <v>474</v>
      </c>
      <c r="BF13" s="37">
        <v>70000</v>
      </c>
      <c r="BG13" s="37" t="s">
        <v>181</v>
      </c>
      <c r="BH13" s="37">
        <v>20</v>
      </c>
      <c r="BI13" s="37">
        <v>30</v>
      </c>
      <c r="BJ13" s="37">
        <v>30</v>
      </c>
      <c r="BK13" s="37">
        <v>20</v>
      </c>
      <c r="BL13" s="37">
        <v>30</v>
      </c>
      <c r="BM13" s="37">
        <v>6</v>
      </c>
      <c r="BN13" s="37"/>
      <c r="BO13" s="24">
        <v>12</v>
      </c>
      <c r="BP13" s="319" t="s">
        <v>32</v>
      </c>
      <c r="BQ13" s="23">
        <v>50000</v>
      </c>
      <c r="BR13" s="23" t="s">
        <v>64</v>
      </c>
      <c r="BS13" s="23" t="s">
        <v>344</v>
      </c>
      <c r="BT13" s="23"/>
      <c r="BU13" s="125">
        <f>IF(BV13="","",BU12+1)</f>
        <v>13</v>
      </c>
      <c r="BV13" s="20" t="str">
        <f t="shared" si="24"/>
        <v>Zombie journeyman</v>
      </c>
      <c r="BW13" s="126" t="str">
        <f>HLOOKUP(I$21,CB$2:DG$18,13,FALSE)</f>
        <v>Zombie journeyman</v>
      </c>
      <c r="BX13" s="23">
        <f t="shared" si="21"/>
        <v>0</v>
      </c>
      <c r="BY13" s="23">
        <f t="shared" si="0"/>
        <v>11</v>
      </c>
      <c r="BZ13" s="23"/>
      <c r="CA13" s="24">
        <v>11</v>
      </c>
      <c r="CB13" s="364" t="s">
        <v>886</v>
      </c>
      <c r="CC13" s="33"/>
      <c r="CE13" s="315" t="s">
        <v>537</v>
      </c>
      <c r="CF13" s="334" t="s">
        <v>604</v>
      </c>
      <c r="CG13" s="315" t="s">
        <v>573</v>
      </c>
      <c r="CH13" s="317" t="s">
        <v>94</v>
      </c>
      <c r="CI13" s="330" t="s">
        <v>893</v>
      </c>
      <c r="CJ13" s="21" t="s">
        <v>90</v>
      </c>
      <c r="CL13" s="330" t="s">
        <v>893</v>
      </c>
      <c r="CM13" s="21" t="s">
        <v>108</v>
      </c>
      <c r="CN13" s="317" t="s">
        <v>94</v>
      </c>
      <c r="CO13" s="315" t="s">
        <v>530</v>
      </c>
      <c r="CP13" s="20"/>
      <c r="CQ13" s="21"/>
      <c r="CR13" s="21" t="s">
        <v>570</v>
      </c>
      <c r="CS13" s="21" t="s">
        <v>167</v>
      </c>
      <c r="CT13" s="317" t="s">
        <v>94</v>
      </c>
      <c r="CU13" s="33"/>
      <c r="CV13" s="317" t="s">
        <v>892</v>
      </c>
      <c r="CW13" s="334" t="s">
        <v>567</v>
      </c>
      <c r="CX13" s="317" t="s">
        <v>94</v>
      </c>
      <c r="CY13" s="317" t="s">
        <v>94</v>
      </c>
      <c r="CZ13" s="317" t="s">
        <v>94</v>
      </c>
      <c r="DA13" s="334" t="s">
        <v>567</v>
      </c>
      <c r="DB13" s="337" t="s">
        <v>521</v>
      </c>
      <c r="DC13" s="21" t="s">
        <v>574</v>
      </c>
      <c r="DD13" s="33" t="s">
        <v>162</v>
      </c>
      <c r="DE13" s="21"/>
      <c r="DF13" s="315" t="s">
        <v>576</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c r="A14" s="4"/>
      <c r="B14" s="311">
        <v>12</v>
      </c>
      <c r="C14" s="280" t="s">
        <v>961</v>
      </c>
      <c r="D14" s="281" t="str">
        <f t="shared" si="1"/>
        <v>Ghoul Runner </v>
      </c>
      <c r="E14" s="8">
        <f t="shared" si="2"/>
        <v>7</v>
      </c>
      <c r="F14" s="9">
        <f t="shared" si="3"/>
        <v>3</v>
      </c>
      <c r="G14" s="10">
        <f t="shared" si="4"/>
        <v>4</v>
      </c>
      <c r="H14" s="11">
        <f t="shared" si="5"/>
        <v>7</v>
      </c>
      <c r="I14" s="185" t="str">
        <f t="shared" si="6"/>
        <v>Dodge</v>
      </c>
      <c r="J14" s="249" t="str">
        <f t="shared" si="22"/>
        <v> +AG , Block, Side Step</v>
      </c>
      <c r="K14" s="279" t="str">
        <f t="shared" si="25"/>
        <v>3</v>
      </c>
      <c r="L14" s="288"/>
      <c r="M14" s="289"/>
      <c r="N14" s="309"/>
      <c r="O14" s="309"/>
      <c r="P14" s="302"/>
      <c r="Q14" s="303"/>
      <c r="R14" s="304"/>
      <c r="S14" s="305"/>
      <c r="T14" s="292"/>
      <c r="U14" s="293">
        <v>7</v>
      </c>
      <c r="V14" s="292">
        <v>8</v>
      </c>
      <c r="W14" s="293"/>
      <c r="X14" s="307"/>
      <c r="Y14" s="295">
        <v>3</v>
      </c>
      <c r="Z14" s="186">
        <f t="shared" si="7"/>
        <v>46</v>
      </c>
      <c r="AA14" s="114">
        <f t="shared" si="8"/>
        <v>150000</v>
      </c>
      <c r="AB14" s="296"/>
      <c r="AC14" s="297"/>
      <c r="AD14" s="253" t="str">
        <f t="shared" si="9"/>
        <v> +AG </v>
      </c>
      <c r="AE14" s="253" t="str">
        <f t="shared" si="10"/>
        <v>, Block</v>
      </c>
      <c r="AF14" s="253" t="str">
        <f t="shared" si="11"/>
        <v>, Side Step</v>
      </c>
      <c r="AG14" s="253">
        <f t="shared" si="12"/>
      </c>
      <c r="AH14" s="253">
        <f t="shared" si="13"/>
      </c>
      <c r="AI14" s="253">
        <f t="shared" si="14"/>
      </c>
      <c r="AJ14" s="313"/>
      <c r="AK14" s="205"/>
      <c r="AL14" s="250">
        <v>4</v>
      </c>
      <c r="AM14" s="250">
        <v>6</v>
      </c>
      <c r="AN14" s="250">
        <v>26</v>
      </c>
      <c r="AO14" s="250">
        <v>1</v>
      </c>
      <c r="AP14" s="250">
        <v>1</v>
      </c>
      <c r="AQ14" s="250">
        <v>1</v>
      </c>
      <c r="AR14" s="35">
        <v>3</v>
      </c>
      <c r="AS14" s="30">
        <f t="shared" si="15"/>
        <v>7</v>
      </c>
      <c r="AT14" s="30">
        <f t="shared" si="16"/>
        <v>3</v>
      </c>
      <c r="AU14" s="30">
        <f t="shared" si="17"/>
        <v>3</v>
      </c>
      <c r="AV14" s="30">
        <f t="shared" si="18"/>
        <v>7</v>
      </c>
      <c r="AW14" s="191">
        <f t="shared" si="19"/>
        <v>150000</v>
      </c>
      <c r="AX14" s="30"/>
      <c r="AY14" s="20">
        <f t="shared" si="23"/>
        <v>12</v>
      </c>
      <c r="AZ14" s="315" t="s">
        <v>738</v>
      </c>
      <c r="BA14" s="38">
        <v>6</v>
      </c>
      <c r="BB14" s="38">
        <v>4</v>
      </c>
      <c r="BC14" s="38">
        <v>2</v>
      </c>
      <c r="BD14" s="38">
        <v>9</v>
      </c>
      <c r="BE14" s="40" t="s">
        <v>481</v>
      </c>
      <c r="BF14" s="37">
        <v>130000</v>
      </c>
      <c r="BG14" s="37" t="s">
        <v>182</v>
      </c>
      <c r="BH14" s="37">
        <v>20</v>
      </c>
      <c r="BI14" s="37">
        <v>30</v>
      </c>
      <c r="BJ14" s="37">
        <v>30</v>
      </c>
      <c r="BK14" s="37">
        <v>20</v>
      </c>
      <c r="BL14" s="37" t="s">
        <v>11</v>
      </c>
      <c r="BM14" s="37">
        <v>2</v>
      </c>
      <c r="BN14" s="37"/>
      <c r="BO14" s="24">
        <v>13</v>
      </c>
      <c r="BP14" s="343" t="s">
        <v>827</v>
      </c>
      <c r="BQ14" s="23">
        <v>60000</v>
      </c>
      <c r="BR14" s="23" t="s">
        <v>64</v>
      </c>
      <c r="BS14" s="23" t="s">
        <v>344</v>
      </c>
      <c r="BT14" s="23"/>
      <c r="BU14" s="24">
        <f>IF(BV14="","",BU13+1)</f>
      </c>
      <c r="BV14" s="20">
        <f t="shared" si="24"/>
      </c>
      <c r="BW14" s="126">
        <f>HLOOKUP(I$21,CB$2:DF$18,14,FALSE)</f>
        <v>0</v>
      </c>
      <c r="BX14" s="23">
        <f t="shared" si="21"/>
      </c>
      <c r="BY14" s="23">
        <f t="shared" si="0"/>
      </c>
      <c r="BZ14" s="23"/>
      <c r="CA14" s="24">
        <v>12</v>
      </c>
      <c r="CB14" s="315" t="s">
        <v>538</v>
      </c>
      <c r="CC14" s="21"/>
      <c r="CE14" s="21"/>
      <c r="CF14" s="317" t="s">
        <v>94</v>
      </c>
      <c r="CG14" s="315" t="s">
        <v>536</v>
      </c>
      <c r="CH14" s="315" t="s">
        <v>535</v>
      </c>
      <c r="CI14" s="315" t="s">
        <v>787</v>
      </c>
      <c r="CJ14" s="21" t="s">
        <v>172</v>
      </c>
      <c r="CK14" s="21"/>
      <c r="CL14" s="358" t="s">
        <v>882</v>
      </c>
      <c r="CM14" s="364" t="s">
        <v>886</v>
      </c>
      <c r="CN14" s="21" t="s">
        <v>108</v>
      </c>
      <c r="CO14" s="21"/>
      <c r="CP14" s="27"/>
      <c r="CQ14" s="21"/>
      <c r="CR14" s="315" t="s">
        <v>769</v>
      </c>
      <c r="CS14" s="317" t="s">
        <v>94</v>
      </c>
      <c r="CT14" s="315" t="s">
        <v>527</v>
      </c>
      <c r="CU14" s="33"/>
      <c r="CV14" s="317" t="s">
        <v>94</v>
      </c>
      <c r="CW14" s="21" t="s">
        <v>98</v>
      </c>
      <c r="CX14" s="315" t="s">
        <v>91</v>
      </c>
      <c r="CY14" s="341" t="s">
        <v>936</v>
      </c>
      <c r="CZ14" s="325" t="s">
        <v>702</v>
      </c>
      <c r="DA14" s="21" t="s">
        <v>98</v>
      </c>
      <c r="DB14" s="21"/>
      <c r="DC14" s="315" t="s">
        <v>769</v>
      </c>
      <c r="DD14" s="359" t="s">
        <v>884</v>
      </c>
      <c r="DE14" s="21"/>
      <c r="DF14" s="330" t="s">
        <v>893</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c r="A15" s="4"/>
      <c r="B15" s="310">
        <v>13</v>
      </c>
      <c r="C15" s="280" t="s">
        <v>963</v>
      </c>
      <c r="D15" s="281" t="str">
        <f t="shared" si="1"/>
        <v>Zombie</v>
      </c>
      <c r="E15" s="8">
        <f t="shared" si="2"/>
        <v>4</v>
      </c>
      <c r="F15" s="9">
        <f t="shared" si="3"/>
        <v>3</v>
      </c>
      <c r="G15" s="10">
        <f t="shared" si="4"/>
        <v>2</v>
      </c>
      <c r="H15" s="11">
        <f t="shared" si="5"/>
        <v>8</v>
      </c>
      <c r="I15" s="185" t="str">
        <f t="shared" si="6"/>
        <v>Regeneration</v>
      </c>
      <c r="J15" s="249">
        <f t="shared" si="22"/>
      </c>
      <c r="K15" s="279">
        <f t="shared" si="25"/>
      </c>
      <c r="L15" s="288"/>
      <c r="M15" s="289"/>
      <c r="N15" s="309"/>
      <c r="O15" s="309" t="s">
        <v>965</v>
      </c>
      <c r="P15" s="302"/>
      <c r="Q15" s="303"/>
      <c r="R15" s="304"/>
      <c r="S15" s="305"/>
      <c r="T15" s="292"/>
      <c r="U15" s="293">
        <v>1</v>
      </c>
      <c r="V15" s="292"/>
      <c r="W15" s="293"/>
      <c r="X15" s="307"/>
      <c r="Y15" s="295"/>
      <c r="Z15" s="186">
        <f t="shared" si="7"/>
        <v>1</v>
      </c>
      <c r="AA15" s="114">
        <f t="shared" si="8"/>
        <v>40000</v>
      </c>
      <c r="AB15" s="296"/>
      <c r="AC15" s="297"/>
      <c r="AD15" s="253">
        <f t="shared" si="9"/>
      </c>
      <c r="AE15" s="253">
        <f t="shared" si="10"/>
      </c>
      <c r="AF15" s="253">
        <f t="shared" si="11"/>
      </c>
      <c r="AG15" s="253">
        <f t="shared" si="12"/>
      </c>
      <c r="AH15" s="253">
        <f t="shared" si="13"/>
      </c>
      <c r="AI15" s="253">
        <f t="shared" si="14"/>
      </c>
      <c r="AJ15" s="313"/>
      <c r="AK15" s="205"/>
      <c r="AL15" s="250">
        <v>1</v>
      </c>
      <c r="AM15" s="250">
        <v>1</v>
      </c>
      <c r="AN15" s="250">
        <v>1</v>
      </c>
      <c r="AO15" s="250">
        <v>1</v>
      </c>
      <c r="AP15" s="250">
        <v>1</v>
      </c>
      <c r="AQ15" s="250">
        <v>1</v>
      </c>
      <c r="AR15" s="35">
        <v>2</v>
      </c>
      <c r="AS15" s="30">
        <f t="shared" si="15"/>
        <v>4</v>
      </c>
      <c r="AT15" s="30">
        <f t="shared" si="16"/>
        <v>3</v>
      </c>
      <c r="AU15" s="30">
        <f t="shared" si="17"/>
        <v>2</v>
      </c>
      <c r="AV15" s="30">
        <f t="shared" si="18"/>
        <v>8</v>
      </c>
      <c r="AW15" s="191">
        <f t="shared" si="19"/>
        <v>40000</v>
      </c>
      <c r="AX15" s="30"/>
      <c r="AY15" s="20">
        <f t="shared" si="23"/>
        <v>13</v>
      </c>
      <c r="AZ15" s="315" t="s">
        <v>743</v>
      </c>
      <c r="BA15" s="38">
        <v>5</v>
      </c>
      <c r="BB15" s="38">
        <v>5</v>
      </c>
      <c r="BC15" s="38">
        <v>2</v>
      </c>
      <c r="BD15" s="38">
        <v>8</v>
      </c>
      <c r="BE15" s="40" t="s">
        <v>480</v>
      </c>
      <c r="BF15" s="37">
        <v>150000</v>
      </c>
      <c r="BG15" s="189" t="s">
        <v>316</v>
      </c>
      <c r="BH15" s="189">
        <v>30</v>
      </c>
      <c r="BI15" s="189">
        <v>30</v>
      </c>
      <c r="BJ15" s="189">
        <v>30</v>
      </c>
      <c r="BK15" s="189">
        <v>20</v>
      </c>
      <c r="BL15" s="189">
        <v>30</v>
      </c>
      <c r="BM15" s="37">
        <v>1</v>
      </c>
      <c r="BN15" s="189"/>
      <c r="BO15" s="24">
        <v>14</v>
      </c>
      <c r="BP15" s="319" t="s">
        <v>757</v>
      </c>
      <c r="BQ15" s="23">
        <v>70000</v>
      </c>
      <c r="BR15" s="23" t="s">
        <v>110</v>
      </c>
      <c r="BS15" s="23" t="s">
        <v>345</v>
      </c>
      <c r="BT15" s="23"/>
      <c r="BU15" s="24">
        <f>IF(BV15="","",BU14+1)</f>
      </c>
      <c r="BV15" s="20">
        <f t="shared" si="24"/>
      </c>
      <c r="BW15" s="126">
        <f>HLOOKUP(I$21,CB$2:DF$18,15,FALSE)</f>
        <v>0</v>
      </c>
      <c r="BX15" s="23">
        <f>IF(BW15=0,"",COUNTIF($D$3:$D$18,BW15))</f>
      </c>
      <c r="BY15" s="23">
        <f t="shared" si="0"/>
      </c>
      <c r="BZ15" s="23"/>
      <c r="CA15" s="24">
        <v>13</v>
      </c>
      <c r="CC15" s="21"/>
      <c r="CE15" s="21"/>
      <c r="CF15" s="33" t="s">
        <v>164</v>
      </c>
      <c r="CG15" s="33"/>
      <c r="CH15" s="21"/>
      <c r="CJ15" s="317" t="s">
        <v>892</v>
      </c>
      <c r="CK15" s="44"/>
      <c r="CL15" s="315" t="s">
        <v>532</v>
      </c>
      <c r="CM15" s="315" t="s">
        <v>531</v>
      </c>
      <c r="CN15" s="364" t="s">
        <v>886</v>
      </c>
      <c r="CO15" s="21"/>
      <c r="CP15" s="27"/>
      <c r="CQ15" s="21"/>
      <c r="CR15" s="44"/>
      <c r="CS15" s="364" t="s">
        <v>886</v>
      </c>
      <c r="CT15" s="21"/>
      <c r="CV15" s="315" t="s">
        <v>526</v>
      </c>
      <c r="CW15" s="344" t="s">
        <v>918</v>
      </c>
      <c r="CX15" s="277" t="s">
        <v>847</v>
      </c>
      <c r="CY15" s="21"/>
      <c r="CZ15" s="33"/>
      <c r="DA15" s="317" t="s">
        <v>94</v>
      </c>
      <c r="DB15" s="21"/>
      <c r="DC15" s="315" t="s">
        <v>773</v>
      </c>
      <c r="DD15" s="364" t="s">
        <v>888</v>
      </c>
      <c r="DE15" s="21"/>
      <c r="DF15" s="315" t="s">
        <v>525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c r="A16" s="4"/>
      <c r="B16" s="311">
        <v>14</v>
      </c>
      <c r="C16" s="280" t="s">
        <v>964</v>
      </c>
      <c r="D16" s="281" t="str">
        <f t="shared" si="1"/>
        <v>Zombie</v>
      </c>
      <c r="E16" s="8">
        <f t="shared" si="2"/>
        <v>4</v>
      </c>
      <c r="F16" s="9">
        <f t="shared" si="3"/>
        <v>3</v>
      </c>
      <c r="G16" s="10">
        <f t="shared" si="4"/>
        <v>2</v>
      </c>
      <c r="H16" s="11">
        <f t="shared" si="5"/>
        <v>8</v>
      </c>
      <c r="I16" s="185" t="str">
        <f t="shared" si="6"/>
        <v>Regeneration</v>
      </c>
      <c r="J16" s="249">
        <f t="shared" si="22"/>
      </c>
      <c r="K16" s="279">
        <f t="shared" si="25"/>
      </c>
      <c r="L16" s="288"/>
      <c r="M16" s="289"/>
      <c r="N16" s="309"/>
      <c r="O16" s="309"/>
      <c r="P16" s="302"/>
      <c r="Q16" s="303"/>
      <c r="R16" s="304"/>
      <c r="S16" s="305"/>
      <c r="T16" s="292"/>
      <c r="U16" s="293">
        <v>1</v>
      </c>
      <c r="V16" s="292"/>
      <c r="W16" s="293"/>
      <c r="X16" s="307"/>
      <c r="Y16" s="295"/>
      <c r="Z16" s="186">
        <f t="shared" si="7"/>
        <v>1</v>
      </c>
      <c r="AA16" s="114">
        <f t="shared" si="8"/>
        <v>40000</v>
      </c>
      <c r="AB16" s="296"/>
      <c r="AC16" s="297"/>
      <c r="AD16" s="253">
        <f t="shared" si="9"/>
      </c>
      <c r="AE16" s="253">
        <f t="shared" si="10"/>
      </c>
      <c r="AF16" s="253">
        <f t="shared" si="11"/>
      </c>
      <c r="AG16" s="253">
        <f t="shared" si="12"/>
      </c>
      <c r="AH16" s="253">
        <f t="shared" si="13"/>
      </c>
      <c r="AI16" s="253">
        <f t="shared" si="14"/>
      </c>
      <c r="AJ16" s="313"/>
      <c r="AK16" s="205"/>
      <c r="AL16" s="250">
        <v>1</v>
      </c>
      <c r="AM16" s="250">
        <v>1</v>
      </c>
      <c r="AN16" s="250">
        <v>1</v>
      </c>
      <c r="AO16" s="250">
        <v>1</v>
      </c>
      <c r="AP16" s="250">
        <v>1</v>
      </c>
      <c r="AQ16" s="250">
        <v>1</v>
      </c>
      <c r="AR16" s="35">
        <v>2</v>
      </c>
      <c r="AS16" s="30">
        <f t="shared" si="15"/>
        <v>4</v>
      </c>
      <c r="AT16" s="30">
        <f t="shared" si="16"/>
        <v>3</v>
      </c>
      <c r="AU16" s="30">
        <f t="shared" si="17"/>
        <v>2</v>
      </c>
      <c r="AV16" s="30">
        <f t="shared" si="18"/>
        <v>8</v>
      </c>
      <c r="AW16" s="191">
        <f t="shared" si="19"/>
        <v>40000</v>
      </c>
      <c r="AX16" s="30"/>
      <c r="AY16" s="20">
        <f t="shared" si="23"/>
        <v>14</v>
      </c>
      <c r="AZ16" s="33" t="s">
        <v>423</v>
      </c>
      <c r="BA16" s="38">
        <v>6</v>
      </c>
      <c r="BB16" s="38">
        <v>3</v>
      </c>
      <c r="BC16" s="38">
        <v>3</v>
      </c>
      <c r="BD16" s="38">
        <v>7</v>
      </c>
      <c r="BE16" s="40" t="s">
        <v>251</v>
      </c>
      <c r="BF16" s="37">
        <v>40000</v>
      </c>
      <c r="BG16" s="189" t="s">
        <v>430</v>
      </c>
      <c r="BH16" s="189" t="s">
        <v>11</v>
      </c>
      <c r="BI16" s="189" t="s">
        <v>11</v>
      </c>
      <c r="BJ16" s="189" t="s">
        <v>11</v>
      </c>
      <c r="BK16" s="189" t="s">
        <v>11</v>
      </c>
      <c r="BL16" s="189" t="s">
        <v>11</v>
      </c>
      <c r="BM16" s="189">
        <v>11</v>
      </c>
      <c r="BN16" s="23"/>
      <c r="BO16" s="24">
        <v>15</v>
      </c>
      <c r="BP16" s="321" t="s">
        <v>816</v>
      </c>
      <c r="BQ16" s="23">
        <v>70000</v>
      </c>
      <c r="BR16" s="23"/>
      <c r="BS16" s="23" t="s">
        <v>344</v>
      </c>
      <c r="BT16" s="23"/>
      <c r="BU16" s="24">
        <f>IF(BV16="","",BU15+1)</f>
      </c>
      <c r="BV16" s="20">
        <f t="shared" si="24"/>
      </c>
      <c r="BW16" s="126">
        <f>HLOOKUP(I$21,CB$2:DF$18,16,FALSE)</f>
        <v>0</v>
      </c>
      <c r="BX16" s="23">
        <f>IF(BW16=0,"",COUNTIF($D$3:$D$18,BW16))</f>
      </c>
      <c r="BY16" s="23">
        <f t="shared" si="0"/>
      </c>
      <c r="BZ16" s="23"/>
      <c r="CA16" s="24">
        <v>14</v>
      </c>
      <c r="CB16" s="21"/>
      <c r="CC16" s="21"/>
      <c r="CE16" s="21"/>
      <c r="CF16" s="21" t="s">
        <v>102</v>
      </c>
      <c r="CG16" s="21"/>
      <c r="CI16" s="21"/>
      <c r="CJ16" s="317" t="s">
        <v>94</v>
      </c>
      <c r="CK16" s="21"/>
      <c r="CN16" s="341" t="s">
        <v>848</v>
      </c>
      <c r="CO16" s="21"/>
      <c r="CP16" s="27"/>
      <c r="CQ16" s="21"/>
      <c r="CR16" s="21"/>
      <c r="CS16" s="315" t="s">
        <v>528</v>
      </c>
      <c r="CT16" s="21"/>
      <c r="CV16" s="21"/>
      <c r="CW16" s="317" t="s">
        <v>94</v>
      </c>
      <c r="CX16" s="21"/>
      <c r="CY16" s="21"/>
      <c r="CZ16" s="21"/>
      <c r="DA16" s="315" t="s">
        <v>524</v>
      </c>
      <c r="DB16" s="21"/>
      <c r="DC16" s="21"/>
      <c r="DD16" s="364" t="s">
        <v>890</v>
      </c>
      <c r="DE16" s="21"/>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c r="A17" s="4"/>
      <c r="B17" s="310">
        <v>15</v>
      </c>
      <c r="C17" s="280" t="s">
        <v>967</v>
      </c>
      <c r="D17" s="281" t="str">
        <f t="shared" si="1"/>
        <v>Zombie</v>
      </c>
      <c r="E17" s="8">
        <f t="shared" si="2"/>
        <v>4</v>
      </c>
      <c r="F17" s="9">
        <f t="shared" si="3"/>
        <v>3</v>
      </c>
      <c r="G17" s="10">
        <f t="shared" si="4"/>
        <v>2</v>
      </c>
      <c r="H17" s="11">
        <f t="shared" si="5"/>
        <v>8</v>
      </c>
      <c r="I17" s="185" t="str">
        <f t="shared" si="6"/>
        <v>Regeneration</v>
      </c>
      <c r="J17" s="249">
        <f t="shared" si="22"/>
      </c>
      <c r="K17" s="279">
        <f t="shared" si="25"/>
      </c>
      <c r="L17" s="288"/>
      <c r="M17" s="289"/>
      <c r="N17" s="309"/>
      <c r="O17" s="309"/>
      <c r="P17" s="302"/>
      <c r="Q17" s="303"/>
      <c r="R17" s="304"/>
      <c r="S17" s="305"/>
      <c r="T17" s="292"/>
      <c r="U17" s="293"/>
      <c r="V17" s="292"/>
      <c r="W17" s="293"/>
      <c r="X17" s="307"/>
      <c r="Y17" s="295"/>
      <c r="Z17" s="186">
        <f t="shared" si="7"/>
        <v>0</v>
      </c>
      <c r="AA17" s="114">
        <f t="shared" si="8"/>
        <v>40000</v>
      </c>
      <c r="AB17" s="296"/>
      <c r="AC17" s="297"/>
      <c r="AD17" s="253">
        <f t="shared" si="9"/>
      </c>
      <c r="AE17" s="253">
        <f t="shared" si="10"/>
      </c>
      <c r="AF17" s="253">
        <f t="shared" si="11"/>
      </c>
      <c r="AG17" s="253">
        <f t="shared" si="12"/>
      </c>
      <c r="AH17" s="253">
        <f t="shared" si="13"/>
      </c>
      <c r="AI17" s="253">
        <f t="shared" si="14"/>
      </c>
      <c r="AJ17" s="313"/>
      <c r="AK17" s="205"/>
      <c r="AL17" s="250">
        <v>1</v>
      </c>
      <c r="AM17" s="250">
        <v>1</v>
      </c>
      <c r="AN17" s="250">
        <v>1</v>
      </c>
      <c r="AO17" s="250">
        <v>1</v>
      </c>
      <c r="AP17" s="250">
        <v>1</v>
      </c>
      <c r="AQ17" s="250">
        <v>1</v>
      </c>
      <c r="AR17" s="35">
        <v>2</v>
      </c>
      <c r="AS17" s="30">
        <f t="shared" si="15"/>
        <v>4</v>
      </c>
      <c r="AT17" s="30">
        <f t="shared" si="16"/>
        <v>3</v>
      </c>
      <c r="AU17" s="30">
        <f t="shared" si="17"/>
        <v>2</v>
      </c>
      <c r="AV17" s="30">
        <f t="shared" si="18"/>
        <v>8</v>
      </c>
      <c r="AW17" s="191">
        <f t="shared" si="19"/>
        <v>40000</v>
      </c>
      <c r="AX17" s="30"/>
      <c r="AY17" s="20">
        <f t="shared" si="23"/>
        <v>15</v>
      </c>
      <c r="AZ17" s="317" t="s">
        <v>41</v>
      </c>
      <c r="BA17" s="22">
        <v>6</v>
      </c>
      <c r="BB17" s="22">
        <v>3</v>
      </c>
      <c r="BC17" s="22">
        <v>4</v>
      </c>
      <c r="BD17" s="22">
        <v>8</v>
      </c>
      <c r="BE17" s="39"/>
      <c r="BF17" s="23">
        <v>70000</v>
      </c>
      <c r="BG17" s="23" t="s">
        <v>183</v>
      </c>
      <c r="BH17" s="23">
        <v>20</v>
      </c>
      <c r="BI17" s="23">
        <v>20</v>
      </c>
      <c r="BJ17" s="23">
        <v>30</v>
      </c>
      <c r="BK17" s="23">
        <v>30</v>
      </c>
      <c r="BL17" s="23" t="s">
        <v>11</v>
      </c>
      <c r="BM17" s="23">
        <v>16</v>
      </c>
      <c r="BN17" s="23"/>
      <c r="BO17" s="24">
        <v>16</v>
      </c>
      <c r="BP17" s="319" t="s">
        <v>69</v>
      </c>
      <c r="BQ17" s="23">
        <v>60000</v>
      </c>
      <c r="BR17" s="23" t="s">
        <v>70</v>
      </c>
      <c r="BS17" s="23" t="s">
        <v>344</v>
      </c>
      <c r="BT17" s="23"/>
      <c r="BU17" s="125">
        <f>IF(BV17="","",BU16+1)</f>
      </c>
      <c r="BV17" s="20">
        <f>IF(BW17=0,"",BW17)</f>
      </c>
      <c r="BW17" s="126">
        <f>HLOOKUP(I$21,CB$2:DF$18,17,FALSE)</f>
        <v>0</v>
      </c>
      <c r="BX17" s="23">
        <f>IF(BW17=0,"",COUNTIF($D$3:$D$18,BW17))</f>
      </c>
      <c r="BY17" s="23">
        <f t="shared" si="0"/>
      </c>
      <c r="BZ17" s="23"/>
      <c r="CA17" s="24">
        <v>15</v>
      </c>
      <c r="CB17" s="20"/>
      <c r="CC17" s="20"/>
      <c r="CD17" s="20"/>
      <c r="CE17" s="20"/>
      <c r="CF17" s="315" t="s">
        <v>142</v>
      </c>
      <c r="CG17" s="20"/>
      <c r="CI17" s="20"/>
      <c r="CJ17" s="364" t="s">
        <v>890</v>
      </c>
      <c r="CK17" s="20"/>
      <c r="CL17" s="20"/>
      <c r="CM17" s="44"/>
      <c r="CN17" s="44"/>
      <c r="CO17" s="20"/>
      <c r="CP17" s="27"/>
      <c r="CQ17" s="20"/>
      <c r="CR17" s="20"/>
      <c r="CT17" s="20"/>
      <c r="CV17" s="20"/>
      <c r="CW17" s="341" t="s">
        <v>919</v>
      </c>
      <c r="CX17" s="20"/>
      <c r="CY17" s="20"/>
      <c r="CZ17" s="20"/>
      <c r="DB17" s="44"/>
      <c r="DC17" s="20"/>
      <c r="DD17" s="317" t="s">
        <v>523</v>
      </c>
      <c r="DE17" s="20"/>
      <c r="DF17" s="20"/>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c r="A18" s="4"/>
      <c r="B18" s="310">
        <v>16</v>
      </c>
      <c r="C18" s="280"/>
      <c r="D18" s="281">
        <f t="shared" si="1"/>
      </c>
      <c r="E18" s="8">
        <f t="shared" si="2"/>
      </c>
      <c r="F18" s="9">
        <f t="shared" si="3"/>
      </c>
      <c r="G18" s="10">
        <f t="shared" si="4"/>
      </c>
      <c r="H18" s="11">
        <f t="shared" si="5"/>
      </c>
      <c r="I18" s="185">
        <f t="shared" si="6"/>
      </c>
      <c r="J18" s="249">
        <f t="shared" si="22"/>
      </c>
      <c r="K18" s="279">
        <f t="shared" si="25"/>
      </c>
      <c r="L18" s="288"/>
      <c r="M18" s="289"/>
      <c r="N18" s="309"/>
      <c r="O18" s="309"/>
      <c r="P18" s="302"/>
      <c r="Q18" s="303"/>
      <c r="R18" s="304"/>
      <c r="S18" s="305"/>
      <c r="T18" s="292"/>
      <c r="U18" s="293"/>
      <c r="V18" s="292"/>
      <c r="W18" s="293"/>
      <c r="X18" s="307"/>
      <c r="Y18" s="295"/>
      <c r="Z18" s="186">
        <f t="shared" si="7"/>
        <v>0</v>
      </c>
      <c r="AA18" s="114">
        <f t="shared" si="8"/>
        <v>0</v>
      </c>
      <c r="AB18" s="296"/>
      <c r="AC18" s="297"/>
      <c r="AD18" s="253">
        <f t="shared" si="9"/>
      </c>
      <c r="AE18" s="253">
        <f t="shared" si="10"/>
      </c>
      <c r="AF18" s="253">
        <f t="shared" si="11"/>
      </c>
      <c r="AG18" s="253">
        <f t="shared" si="12"/>
      </c>
      <c r="AH18" s="253">
        <f t="shared" si="13"/>
      </c>
      <c r="AI18" s="253">
        <f t="shared" si="14"/>
      </c>
      <c r="AJ18" s="313"/>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7" t="s">
        <v>118</v>
      </c>
      <c r="BA18" s="22">
        <v>7</v>
      </c>
      <c r="BB18" s="22">
        <v>3</v>
      </c>
      <c r="BC18" s="22">
        <v>4</v>
      </c>
      <c r="BD18" s="22">
        <v>7</v>
      </c>
      <c r="BE18" s="39" t="s">
        <v>479</v>
      </c>
      <c r="BF18" s="23">
        <v>80000</v>
      </c>
      <c r="BG18" s="23" t="s">
        <v>184</v>
      </c>
      <c r="BH18" s="23">
        <v>20</v>
      </c>
      <c r="BI18" s="23">
        <v>20</v>
      </c>
      <c r="BJ18" s="23">
        <v>20</v>
      </c>
      <c r="BK18" s="23">
        <v>30</v>
      </c>
      <c r="BL18" s="23" t="s">
        <v>11</v>
      </c>
      <c r="BM18" s="23">
        <v>2</v>
      </c>
      <c r="BN18" s="23"/>
      <c r="BO18" s="24">
        <v>17</v>
      </c>
      <c r="BP18" s="319" t="s">
        <v>764</v>
      </c>
      <c r="BQ18" s="23">
        <v>70000</v>
      </c>
      <c r="BR18" s="23" t="s">
        <v>111</v>
      </c>
      <c r="BS18" s="23" t="s">
        <v>345</v>
      </c>
      <c r="BT18" s="23"/>
      <c r="BU18" s="24"/>
      <c r="BV18" s="23"/>
      <c r="BW18" s="126"/>
      <c r="BX18" s="23"/>
      <c r="BY18" s="23"/>
      <c r="BZ18" s="23"/>
      <c r="CA18" s="24">
        <v>16</v>
      </c>
      <c r="CB18" s="27"/>
      <c r="CC18" s="27"/>
      <c r="CD18" s="26"/>
      <c r="CF18" s="317" t="s">
        <v>745</v>
      </c>
      <c r="CG18" s="26"/>
      <c r="CI18" s="27"/>
      <c r="CJ18" s="315" t="s">
        <v>534</v>
      </c>
      <c r="CK18" s="26"/>
      <c r="CL18" s="26"/>
      <c r="CO18" s="27"/>
      <c r="CP18" s="27"/>
      <c r="CQ18" s="27"/>
      <c r="CR18" s="27"/>
      <c r="CS18" s="26"/>
      <c r="CT18" s="27"/>
      <c r="CV18" s="27"/>
      <c r="CW18" s="27"/>
      <c r="CX18" s="27"/>
      <c r="CY18" s="27"/>
      <c r="CZ18" s="27"/>
      <c r="DC18" s="27"/>
      <c r="DE18" s="27"/>
      <c r="DF18" s="26"/>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c r="A19" s="4"/>
      <c r="B19" s="192"/>
      <c r="C19" s="377"/>
      <c r="D19" s="378"/>
      <c r="E19" s="373"/>
      <c r="F19" s="374"/>
      <c r="G19" s="375"/>
      <c r="H19" s="376"/>
      <c r="I19" s="50"/>
      <c r="J19" s="383"/>
      <c r="K19" s="383"/>
      <c r="L19" s="383"/>
      <c r="M19" s="383"/>
      <c r="N19" s="110"/>
      <c r="O19" s="64"/>
      <c r="P19" s="64"/>
      <c r="Q19" s="64"/>
      <c r="R19" s="64"/>
      <c r="S19" s="64"/>
      <c r="T19" s="64"/>
      <c r="U19" s="64"/>
      <c r="V19" s="64"/>
      <c r="W19" s="111"/>
      <c r="X19" s="85"/>
      <c r="Y19" s="64"/>
      <c r="Z19" s="112" t="s">
        <v>631</v>
      </c>
      <c r="AA19" s="113">
        <f>SUM(AW3:AW18)</f>
        <v>1210000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5" t="s">
        <v>119</v>
      </c>
      <c r="BA19" s="38">
        <v>6</v>
      </c>
      <c r="BB19" s="38">
        <v>3</v>
      </c>
      <c r="BC19" s="38">
        <v>4</v>
      </c>
      <c r="BD19" s="38">
        <v>7</v>
      </c>
      <c r="BE19" s="40" t="s">
        <v>478</v>
      </c>
      <c r="BF19" s="23">
        <v>90000</v>
      </c>
      <c r="BG19" s="23" t="s">
        <v>185</v>
      </c>
      <c r="BH19" s="23">
        <v>20</v>
      </c>
      <c r="BI19" s="23">
        <v>20</v>
      </c>
      <c r="BJ19" s="23">
        <v>30</v>
      </c>
      <c r="BK19" s="23">
        <v>30</v>
      </c>
      <c r="BL19" s="23" t="s">
        <v>11</v>
      </c>
      <c r="BM19" s="23">
        <v>2</v>
      </c>
      <c r="BN19" s="23"/>
      <c r="BO19" s="24">
        <v>18</v>
      </c>
      <c r="BP19" s="320" t="s">
        <v>33</v>
      </c>
      <c r="BQ19" s="37">
        <v>60000</v>
      </c>
      <c r="BR19" s="37" t="s">
        <v>116</v>
      </c>
      <c r="BS19" s="23" t="s">
        <v>344</v>
      </c>
      <c r="BT19" s="23"/>
      <c r="BU19" s="24"/>
      <c r="BV19" s="23"/>
      <c r="BW19" s="126"/>
      <c r="BX19" s="23"/>
      <c r="BY19" s="23"/>
      <c r="BZ19" s="23"/>
      <c r="CA19" s="24"/>
      <c r="CB19" s="27"/>
      <c r="CC19" s="27"/>
      <c r="CD19" s="26"/>
      <c r="CG19" s="26"/>
      <c r="CI19" s="27"/>
      <c r="CK19" s="26"/>
      <c r="CL19" s="26"/>
      <c r="CO19" s="27"/>
      <c r="CP19" s="27"/>
      <c r="CQ19" s="27"/>
      <c r="CR19" s="27"/>
      <c r="CS19" s="26"/>
      <c r="CT19" s="27"/>
      <c r="CV19" s="27"/>
      <c r="CW19" s="27"/>
      <c r="CX19" s="27"/>
      <c r="CY19" s="27"/>
      <c r="CZ19" s="27"/>
      <c r="DC19" s="27"/>
      <c r="DD19" s="27"/>
      <c r="DE19" s="27"/>
      <c r="DF19" s="26"/>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c r="A20" s="4"/>
      <c r="B20" s="193"/>
      <c r="C20" s="379"/>
      <c r="D20" s="380"/>
      <c r="E20" s="387" t="s">
        <v>619</v>
      </c>
      <c r="F20" s="388"/>
      <c r="G20" s="388"/>
      <c r="H20" s="388"/>
      <c r="I20" s="389" t="s">
        <v>962</v>
      </c>
      <c r="J20" s="390"/>
      <c r="K20" s="390"/>
      <c r="L20" s="390"/>
      <c r="M20" s="391"/>
      <c r="N20" s="394" t="s">
        <v>650</v>
      </c>
      <c r="O20" s="394"/>
      <c r="P20" s="394"/>
      <c r="Q20" s="394"/>
      <c r="R20" s="394"/>
      <c r="S20" s="394"/>
      <c r="T20" s="394"/>
      <c r="U20" s="395"/>
      <c r="V20" s="285">
        <v>3</v>
      </c>
      <c r="W20" s="13" t="s">
        <v>11</v>
      </c>
      <c r="X20" s="392">
        <f>IF(I21&lt;&gt;"",VLOOKUP(I21,BP2:BQ32,2,FALSE),0)</f>
        <v>70000</v>
      </c>
      <c r="Y20" s="392"/>
      <c r="Z20" s="14" t="s">
        <v>58</v>
      </c>
      <c r="AA20" s="115">
        <f>V20*X20</f>
        <v>210000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7" t="s">
        <v>42</v>
      </c>
      <c r="BA20" s="22">
        <v>7</v>
      </c>
      <c r="BB20" s="22">
        <v>3</v>
      </c>
      <c r="BC20" s="22">
        <v>4</v>
      </c>
      <c r="BD20" s="22">
        <v>8</v>
      </c>
      <c r="BE20" s="39" t="s">
        <v>346</v>
      </c>
      <c r="BF20" s="23">
        <v>100000</v>
      </c>
      <c r="BG20" s="23" t="s">
        <v>186</v>
      </c>
      <c r="BH20" s="23">
        <v>20</v>
      </c>
      <c r="BI20" s="23">
        <v>20</v>
      </c>
      <c r="BJ20" s="23">
        <v>30</v>
      </c>
      <c r="BK20" s="23">
        <v>30</v>
      </c>
      <c r="BL20" s="23" t="s">
        <v>11</v>
      </c>
      <c r="BM20" s="23">
        <v>4</v>
      </c>
      <c r="BN20" s="23"/>
      <c r="BO20" s="24">
        <v>19</v>
      </c>
      <c r="BP20" s="319" t="s">
        <v>77</v>
      </c>
      <c r="BQ20" s="23">
        <v>70000</v>
      </c>
      <c r="BR20" s="23" t="s">
        <v>112</v>
      </c>
      <c r="BS20" s="23" t="s">
        <v>345</v>
      </c>
      <c r="BT20" s="23"/>
      <c r="BU20" s="24"/>
      <c r="BV20" s="23"/>
      <c r="BW20" s="126"/>
      <c r="BX20" s="23"/>
      <c r="BY20" s="23"/>
      <c r="BZ20" s="23"/>
      <c r="CA20" s="24"/>
      <c r="CB20" s="27"/>
      <c r="CC20" s="27"/>
      <c r="CF20" s="26"/>
      <c r="CG20" s="26"/>
      <c r="CI20" s="27"/>
      <c r="CJ20" s="26"/>
      <c r="CK20" s="26"/>
      <c r="CL20" s="26"/>
      <c r="CO20" s="27"/>
      <c r="CP20" s="27"/>
      <c r="CQ20" s="27"/>
      <c r="CR20" s="27"/>
      <c r="CS20" s="26"/>
      <c r="CT20" s="27"/>
      <c r="CV20" s="27"/>
      <c r="CW20" s="27"/>
      <c r="CX20" s="27"/>
      <c r="CY20" s="27"/>
      <c r="CZ20" s="27"/>
      <c r="DB20" s="34"/>
      <c r="DC20" s="27"/>
      <c r="DD20" s="27"/>
      <c r="DE20" s="27"/>
      <c r="DF20" s="26"/>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c r="A21" s="4"/>
      <c r="B21" s="193"/>
      <c r="C21" s="379"/>
      <c r="D21" s="380"/>
      <c r="E21" s="371" t="s">
        <v>618</v>
      </c>
      <c r="F21" s="372"/>
      <c r="G21" s="372"/>
      <c r="H21" s="372"/>
      <c r="I21" s="187" t="str">
        <f>VLOOKUP(AS22,BO2:BP32,2,FALSE)</f>
        <v>Necromantic Horror</v>
      </c>
      <c r="J21" s="17"/>
      <c r="K21" s="17"/>
      <c r="L21" s="17"/>
      <c r="M21" s="188"/>
      <c r="N21" s="399" t="s">
        <v>12</v>
      </c>
      <c r="O21" s="399"/>
      <c r="P21" s="399"/>
      <c r="Q21" s="399"/>
      <c r="R21" s="399"/>
      <c r="S21" s="399"/>
      <c r="T21" s="399"/>
      <c r="U21" s="400"/>
      <c r="V21" s="286">
        <v>8</v>
      </c>
      <c r="W21" s="15" t="str">
        <f>IF(AR21=TRUE,"","x")</f>
        <v>x</v>
      </c>
      <c r="X21" s="393">
        <f>IF(AR21=TRUE,"free",10000)</f>
        <v>10000</v>
      </c>
      <c r="Y21" s="393"/>
      <c r="Z21" s="16" t="str">
        <f>IF(AR21=TRUE,""," gp")</f>
        <v> gp</v>
      </c>
      <c r="AA21" s="116">
        <f>IF(AR21=TRUE,"",V21*10000)</f>
        <v>80000</v>
      </c>
      <c r="AB21" s="70" t="s">
        <v>447</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7" t="s">
        <v>43</v>
      </c>
      <c r="BA21" s="22">
        <v>7</v>
      </c>
      <c r="BB21" s="22">
        <v>3</v>
      </c>
      <c r="BC21" s="22">
        <v>4</v>
      </c>
      <c r="BD21" s="22">
        <v>7</v>
      </c>
      <c r="BE21" s="39" t="s">
        <v>475</v>
      </c>
      <c r="BF21" s="23">
        <v>110000</v>
      </c>
      <c r="BG21" s="23" t="s">
        <v>187</v>
      </c>
      <c r="BH21" s="23">
        <v>20</v>
      </c>
      <c r="BI21" s="23">
        <v>20</v>
      </c>
      <c r="BJ21" s="23">
        <v>30</v>
      </c>
      <c r="BK21" s="23">
        <v>30</v>
      </c>
      <c r="BL21" s="23" t="s">
        <v>11</v>
      </c>
      <c r="BM21" s="23">
        <v>2</v>
      </c>
      <c r="BN21" s="189"/>
      <c r="BO21" s="24">
        <v>20</v>
      </c>
      <c r="BP21" s="319" t="s">
        <v>71</v>
      </c>
      <c r="BQ21" s="23">
        <v>70000</v>
      </c>
      <c r="BR21" s="23" t="s">
        <v>85</v>
      </c>
      <c r="BS21" s="23" t="s">
        <v>344</v>
      </c>
      <c r="BT21" s="23"/>
      <c r="BU21" s="24"/>
      <c r="BV21" s="23"/>
      <c r="BW21" s="126"/>
      <c r="BX21" s="23"/>
      <c r="BY21" s="23"/>
      <c r="BZ21" s="23"/>
      <c r="CA21" s="24"/>
      <c r="CB21" s="27"/>
      <c r="CC21" s="27"/>
      <c r="CF21" s="26"/>
      <c r="CG21" s="26"/>
      <c r="CI21" s="27"/>
      <c r="CJ21" s="26"/>
      <c r="CK21" s="26"/>
      <c r="CL21" s="26"/>
      <c r="CO21" s="27"/>
      <c r="CP21" s="27"/>
      <c r="CQ21" s="27"/>
      <c r="CR21" s="27"/>
      <c r="CS21" s="26"/>
      <c r="CT21" s="27"/>
      <c r="CV21" s="27"/>
      <c r="CW21" s="27"/>
      <c r="CX21" s="27"/>
      <c r="CY21" s="27"/>
      <c r="CZ21" s="27"/>
      <c r="DC21" s="27"/>
      <c r="DD21" s="27"/>
      <c r="DE21" s="27"/>
      <c r="DF21" s="26"/>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c r="A22" s="4"/>
      <c r="B22" s="193"/>
      <c r="C22" s="379"/>
      <c r="D22" s="380"/>
      <c r="E22" s="371" t="s">
        <v>622</v>
      </c>
      <c r="F22" s="372"/>
      <c r="G22" s="372"/>
      <c r="H22" s="372"/>
      <c r="I22" s="384"/>
      <c r="J22" s="385"/>
      <c r="K22" s="385"/>
      <c r="L22" s="385"/>
      <c r="M22" s="386"/>
      <c r="N22" s="399" t="s">
        <v>652</v>
      </c>
      <c r="O22" s="399"/>
      <c r="P22" s="399"/>
      <c r="Q22" s="399"/>
      <c r="R22" s="399"/>
      <c r="S22" s="399"/>
      <c r="T22" s="399"/>
      <c r="U22" s="400"/>
      <c r="V22" s="286">
        <v>0</v>
      </c>
      <c r="W22" s="15" t="s">
        <v>11</v>
      </c>
      <c r="X22" s="393">
        <v>10000</v>
      </c>
      <c r="Y22" s="393"/>
      <c r="Z22" s="16" t="s">
        <v>58</v>
      </c>
      <c r="AA22" s="116">
        <f>V22*10000</f>
        <v>0</v>
      </c>
      <c r="AB22" s="5"/>
      <c r="AC22" s="5"/>
      <c r="AD22" s="255"/>
      <c r="AE22" s="255"/>
      <c r="AF22" s="255"/>
      <c r="AG22" s="255"/>
      <c r="AH22" s="255"/>
      <c r="AI22" s="255"/>
      <c r="AJ22" s="255"/>
      <c r="AK22" s="5"/>
      <c r="AL22" s="31"/>
      <c r="AM22" s="31"/>
      <c r="AN22" s="31"/>
      <c r="AO22" s="31"/>
      <c r="AP22" s="31"/>
      <c r="AQ22" s="31"/>
      <c r="AR22" s="31"/>
      <c r="AS22" s="35">
        <v>17</v>
      </c>
      <c r="AT22" s="19"/>
      <c r="AU22" s="19"/>
      <c r="AV22" s="19"/>
      <c r="AW22" s="19"/>
      <c r="AX22" s="19"/>
      <c r="AY22" s="20">
        <f t="shared" si="23"/>
        <v>20</v>
      </c>
      <c r="AZ22" s="33" t="s">
        <v>252</v>
      </c>
      <c r="BA22" s="38">
        <v>6</v>
      </c>
      <c r="BB22" s="38">
        <v>3</v>
      </c>
      <c r="BC22" s="38">
        <v>4</v>
      </c>
      <c r="BD22" s="38">
        <v>8</v>
      </c>
      <c r="BE22" s="40" t="s">
        <v>251</v>
      </c>
      <c r="BF22" s="37">
        <v>70000</v>
      </c>
      <c r="BG22" s="189" t="s">
        <v>318</v>
      </c>
      <c r="BH22" s="189" t="s">
        <v>11</v>
      </c>
      <c r="BI22" s="189" t="s">
        <v>11</v>
      </c>
      <c r="BJ22" s="189" t="s">
        <v>11</v>
      </c>
      <c r="BK22" s="189" t="s">
        <v>11</v>
      </c>
      <c r="BL22" s="189" t="s">
        <v>11</v>
      </c>
      <c r="BM22" s="189">
        <v>11</v>
      </c>
      <c r="BN22" s="37"/>
      <c r="BO22" s="24">
        <v>21</v>
      </c>
      <c r="BP22" s="319" t="s">
        <v>24</v>
      </c>
      <c r="BQ22" s="23">
        <v>60000</v>
      </c>
      <c r="BR22" s="23" t="s">
        <v>65</v>
      </c>
      <c r="BS22" s="23" t="s">
        <v>344</v>
      </c>
      <c r="BT22" s="23"/>
      <c r="BU22" s="24"/>
      <c r="BV22" s="23"/>
      <c r="BW22" s="126"/>
      <c r="BX22" s="23"/>
      <c r="BY22" s="23"/>
      <c r="BZ22" s="23"/>
      <c r="CA22" s="24"/>
      <c r="CB22" s="27"/>
      <c r="CC22" s="27"/>
      <c r="CF22" s="26"/>
      <c r="CG22" s="26"/>
      <c r="CH22" s="26"/>
      <c r="CI22" s="27"/>
      <c r="CJ22" s="26"/>
      <c r="CK22" s="26"/>
      <c r="CL22" s="26"/>
      <c r="CO22" s="27"/>
      <c r="CP22" s="27"/>
      <c r="CQ22" s="27"/>
      <c r="CR22" s="27"/>
      <c r="CS22" s="26"/>
      <c r="CT22" s="27"/>
      <c r="CV22" s="27"/>
      <c r="CW22" s="27"/>
      <c r="CX22" s="27"/>
      <c r="CY22" s="27"/>
      <c r="CZ22" s="27"/>
      <c r="DC22" s="27"/>
      <c r="DD22" s="27"/>
      <c r="DE22" s="27"/>
      <c r="DF22" s="26"/>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c r="A23" s="4"/>
      <c r="B23" s="193"/>
      <c r="C23" s="379"/>
      <c r="D23" s="380"/>
      <c r="E23" s="371" t="s">
        <v>620</v>
      </c>
      <c r="F23" s="372"/>
      <c r="G23" s="372"/>
      <c r="H23" s="372"/>
      <c r="I23" s="212">
        <f>(AA19+AA25)/1000</f>
        <v>1500</v>
      </c>
      <c r="J23" s="213" t="s">
        <v>443</v>
      </c>
      <c r="K23" s="213"/>
      <c r="L23" s="213"/>
      <c r="M23" s="214"/>
      <c r="N23" s="399" t="s">
        <v>651</v>
      </c>
      <c r="O23" s="399"/>
      <c r="P23" s="399"/>
      <c r="Q23" s="399"/>
      <c r="R23" s="399"/>
      <c r="S23" s="399"/>
      <c r="T23" s="399"/>
      <c r="U23" s="400"/>
      <c r="V23" s="286">
        <v>0</v>
      </c>
      <c r="W23" s="15" t="s">
        <v>11</v>
      </c>
      <c r="X23" s="393">
        <v>10000</v>
      </c>
      <c r="Y23" s="393"/>
      <c r="Z23" s="16" t="s">
        <v>58</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5" t="s">
        <v>117</v>
      </c>
      <c r="BA23" s="38">
        <v>4</v>
      </c>
      <c r="BB23" s="38">
        <v>3</v>
      </c>
      <c r="BC23" s="38">
        <v>2</v>
      </c>
      <c r="BD23" s="38">
        <v>9</v>
      </c>
      <c r="BE23" s="40" t="s">
        <v>474</v>
      </c>
      <c r="BF23" s="37">
        <v>70000</v>
      </c>
      <c r="BG23" s="37" t="s">
        <v>188</v>
      </c>
      <c r="BH23" s="37">
        <v>20</v>
      </c>
      <c r="BI23" s="37">
        <v>30</v>
      </c>
      <c r="BJ23" s="37">
        <v>30</v>
      </c>
      <c r="BK23" s="37">
        <v>20</v>
      </c>
      <c r="BL23" s="37" t="s">
        <v>11</v>
      </c>
      <c r="BM23" s="37">
        <v>16</v>
      </c>
      <c r="BN23" s="37"/>
      <c r="BO23" s="24">
        <v>22</v>
      </c>
      <c r="BP23" s="343" t="s">
        <v>913</v>
      </c>
      <c r="BQ23" s="23">
        <v>70000</v>
      </c>
      <c r="BR23" s="23" t="s">
        <v>336</v>
      </c>
      <c r="BS23" s="23" t="s">
        <v>344</v>
      </c>
      <c r="BT23" s="23"/>
      <c r="BU23" s="24"/>
      <c r="BV23" s="23"/>
      <c r="BW23" s="126"/>
      <c r="BX23" s="23"/>
      <c r="BY23" s="23"/>
      <c r="BZ23" s="23"/>
      <c r="CA23" s="24"/>
      <c r="CB23" s="27"/>
      <c r="CC23" s="27"/>
      <c r="CF23" s="26"/>
      <c r="CG23" s="26"/>
      <c r="CH23" s="26"/>
      <c r="CI23" s="27"/>
      <c r="CJ23" s="26"/>
      <c r="CK23" s="26"/>
      <c r="CL23" s="26"/>
      <c r="CO23" s="27"/>
      <c r="CP23" s="27"/>
      <c r="CQ23" s="27"/>
      <c r="CR23" s="27"/>
      <c r="CS23" s="26"/>
      <c r="CT23" s="27"/>
      <c r="CU23" s="27"/>
      <c r="CV23" s="27"/>
      <c r="CW23" s="27"/>
      <c r="CX23" s="27"/>
      <c r="CY23" s="27"/>
      <c r="CZ23" s="27"/>
      <c r="DC23" s="27"/>
      <c r="DD23" s="27"/>
      <c r="DE23" s="27"/>
      <c r="DF23" s="26"/>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c r="A24" s="4"/>
      <c r="B24" s="193"/>
      <c r="C24" s="379"/>
      <c r="D24" s="380"/>
      <c r="E24" s="368" t="s">
        <v>621</v>
      </c>
      <c r="F24" s="369"/>
      <c r="G24" s="369"/>
      <c r="H24" s="370"/>
      <c r="I24" s="282">
        <v>100</v>
      </c>
      <c r="J24" s="283" t="s">
        <v>443</v>
      </c>
      <c r="K24" s="283"/>
      <c r="L24" s="283"/>
      <c r="M24" s="284"/>
      <c r="N24" s="401">
        <f>IF(I21="Shambling Undead","",(IF(I21="Necromantic Horror","",(IF(I21="Khemri Tomb Kings","",(IF(I21="Nurgle","","APOTECARIO")))))))</f>
      </c>
      <c r="O24" s="401"/>
      <c r="P24" s="401"/>
      <c r="Q24" s="401"/>
      <c r="R24" s="401"/>
      <c r="S24" s="401"/>
      <c r="T24" s="401"/>
      <c r="U24" s="401"/>
      <c r="V24" s="287">
        <v>0</v>
      </c>
      <c r="W24" s="15">
        <f>IF(I21="Shambling Undead","",(IF(I21="Necromantic Horror","",(IF(I21="Khemri Tomb Kings","",(IF(I21="Nurgle","","x")))))))</f>
      </c>
      <c r="X24" s="393">
        <f>IF(I21="Shambling Undead",-500,(IF(I21="Necromantic Horror",-500,(IF(I21="Khemri Tomb Kings",-500,(IF(I21="Nurgle",-500,50000)))))))</f>
        <v>-500</v>
      </c>
      <c r="Y24" s="393"/>
      <c r="Z24" s="16">
        <f>IF(I21="Shambling Undead","",(IF(I21="Necromantic Horror","",(IF(I21="Khemri Tomb Kings","",(IF(I21="Nurgle",""," gp")))))))</f>
      </c>
      <c r="AA24" s="117">
        <f>IF(I21="Undead","0,0",(IF(I21="Necromantic","0,0",IF(I21="Khemri","0,0",IF(I21="Nurgle","0,0",IF(V24&gt;0,50000,0))))))</f>
        <v>0</v>
      </c>
      <c r="AB24" s="5"/>
      <c r="AC24" s="5"/>
      <c r="AD24" s="144"/>
      <c r="AE24" s="144"/>
      <c r="AF24" s="144"/>
      <c r="AG24" s="144"/>
      <c r="AH24" s="144"/>
      <c r="AI24" s="144"/>
      <c r="AJ24" s="144"/>
      <c r="AK24" s="5"/>
      <c r="AL24" s="31"/>
      <c r="AM24" s="31"/>
      <c r="AN24" s="31"/>
      <c r="AO24" s="31"/>
      <c r="AP24" s="31"/>
      <c r="AQ24" s="31"/>
      <c r="AR24" s="31"/>
      <c r="AS24" s="35">
        <f>FLOOR(I24,10)</f>
        <v>100</v>
      </c>
      <c r="AT24" s="19"/>
      <c r="AU24" s="19"/>
      <c r="AV24" s="19"/>
      <c r="AW24" s="19"/>
      <c r="AX24" s="19"/>
      <c r="AY24" s="20">
        <f t="shared" si="23"/>
        <v>22</v>
      </c>
      <c r="AZ24" s="315" t="s">
        <v>53</v>
      </c>
      <c r="BA24" s="38">
        <v>6</v>
      </c>
      <c r="BB24" s="38">
        <v>3</v>
      </c>
      <c r="BC24" s="38">
        <v>3</v>
      </c>
      <c r="BD24" s="38">
        <v>8</v>
      </c>
      <c r="BE24" s="40" t="s">
        <v>473</v>
      </c>
      <c r="BF24" s="37">
        <v>80000</v>
      </c>
      <c r="BG24" s="37" t="s">
        <v>189</v>
      </c>
      <c r="BH24" s="37">
        <v>20</v>
      </c>
      <c r="BI24" s="37">
        <v>30</v>
      </c>
      <c r="BJ24" s="37">
        <v>20</v>
      </c>
      <c r="BK24" s="37">
        <v>30</v>
      </c>
      <c r="BL24" s="37" t="s">
        <v>11</v>
      </c>
      <c r="BM24" s="37">
        <v>2</v>
      </c>
      <c r="BN24" s="37"/>
      <c r="BO24" s="24">
        <v>23</v>
      </c>
      <c r="BP24" s="343" t="s">
        <v>846</v>
      </c>
      <c r="BQ24" s="23">
        <v>60000</v>
      </c>
      <c r="BR24" s="23" t="s">
        <v>65</v>
      </c>
      <c r="BS24" s="23" t="s">
        <v>344</v>
      </c>
      <c r="BT24" s="23"/>
      <c r="BU24" s="24"/>
      <c r="BV24" s="23"/>
      <c r="BW24" s="126"/>
      <c r="BX24" s="23"/>
      <c r="BY24" s="23"/>
      <c r="BZ24" s="23"/>
      <c r="CA24" s="24"/>
      <c r="CB24" s="27"/>
      <c r="CC24" s="27"/>
      <c r="CF24" s="26"/>
      <c r="CG24" s="26"/>
      <c r="CH24" s="26"/>
      <c r="CI24" s="27"/>
      <c r="CJ24" s="26"/>
      <c r="CK24" s="26"/>
      <c r="CL24" s="26"/>
      <c r="CO24" s="27"/>
      <c r="CP24" s="27"/>
      <c r="CQ24" s="27"/>
      <c r="CR24" s="27"/>
      <c r="CS24" s="26"/>
      <c r="CT24" s="27"/>
      <c r="CU24" s="27"/>
      <c r="CV24" s="27"/>
      <c r="CW24" s="27"/>
      <c r="CX24" s="27"/>
      <c r="CY24" s="27"/>
      <c r="CZ24" s="27"/>
      <c r="DC24" s="27"/>
      <c r="DD24" s="27"/>
      <c r="DE24" s="27"/>
      <c r="DF24" s="26"/>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c r="A25" s="4"/>
      <c r="B25" s="194"/>
      <c r="C25" s="381"/>
      <c r="D25" s="382"/>
      <c r="E25" s="63" t="s">
        <v>876</v>
      </c>
      <c r="F25" s="12"/>
      <c r="G25" s="12"/>
      <c r="H25" s="12"/>
      <c r="I25" s="129" t="s">
        <v>609</v>
      </c>
      <c r="J25" s="273" t="s">
        <v>610</v>
      </c>
      <c r="K25" s="273"/>
      <c r="L25" s="273"/>
      <c r="M25" s="12"/>
      <c r="N25" s="402"/>
      <c r="O25" s="402"/>
      <c r="P25" s="402"/>
      <c r="Q25" s="402"/>
      <c r="R25" s="402"/>
      <c r="S25" s="402"/>
      <c r="T25" s="402"/>
      <c r="U25" s="402"/>
      <c r="V25" s="86"/>
      <c r="W25" s="111"/>
      <c r="X25" s="85"/>
      <c r="Y25" s="64"/>
      <c r="Z25" s="112" t="s">
        <v>632</v>
      </c>
      <c r="AA25" s="113">
        <f>SUM(AA20:AA24)</f>
        <v>290000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5" t="s">
        <v>54</v>
      </c>
      <c r="BA25" s="38">
        <v>5</v>
      </c>
      <c r="BB25" s="38">
        <v>3</v>
      </c>
      <c r="BC25" s="38">
        <v>3</v>
      </c>
      <c r="BD25" s="38">
        <v>9</v>
      </c>
      <c r="BE25" s="40" t="s">
        <v>476</v>
      </c>
      <c r="BF25" s="37">
        <v>80000</v>
      </c>
      <c r="BG25" s="37" t="s">
        <v>190</v>
      </c>
      <c r="BH25" s="37">
        <v>20</v>
      </c>
      <c r="BI25" s="37">
        <v>30</v>
      </c>
      <c r="BJ25" s="37">
        <v>30</v>
      </c>
      <c r="BK25" s="37">
        <v>20</v>
      </c>
      <c r="BL25" s="37" t="s">
        <v>11</v>
      </c>
      <c r="BM25" s="37">
        <v>2</v>
      </c>
      <c r="BN25" s="37"/>
      <c r="BO25" s="24">
        <v>24</v>
      </c>
      <c r="BP25" s="343" t="s">
        <v>931</v>
      </c>
      <c r="BQ25" s="23">
        <v>70000</v>
      </c>
      <c r="BR25" s="23" t="s">
        <v>115</v>
      </c>
      <c r="BS25" s="23" t="s">
        <v>344</v>
      </c>
      <c r="BT25" s="23"/>
      <c r="BU25" s="24"/>
      <c r="BV25" s="23"/>
      <c r="BW25" s="126"/>
      <c r="BX25" s="23"/>
      <c r="BY25" s="23"/>
      <c r="BZ25" s="23"/>
      <c r="CA25" s="24"/>
      <c r="CB25" s="27"/>
      <c r="CC25" s="27"/>
      <c r="CF25" s="26"/>
      <c r="CG25" s="26"/>
      <c r="CH25" s="26"/>
      <c r="CI25" s="27"/>
      <c r="CJ25" s="26"/>
      <c r="CK25" s="26"/>
      <c r="CL25" s="26"/>
      <c r="CO25" s="27"/>
      <c r="CP25" s="27"/>
      <c r="CQ25" s="27"/>
      <c r="CR25" s="27"/>
      <c r="CS25" s="26"/>
      <c r="CT25" s="27"/>
      <c r="CU25" s="27"/>
      <c r="CV25" s="27"/>
      <c r="CW25" s="27"/>
      <c r="CX25" s="27"/>
      <c r="CY25" s="27"/>
      <c r="CZ25" s="27"/>
      <c r="DC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5" t="s">
        <v>55</v>
      </c>
      <c r="BA26" s="38">
        <v>5</v>
      </c>
      <c r="BB26" s="38">
        <v>3</v>
      </c>
      <c r="BC26" s="38">
        <v>2</v>
      </c>
      <c r="BD26" s="38">
        <v>8</v>
      </c>
      <c r="BE26" s="40" t="s">
        <v>477</v>
      </c>
      <c r="BF26" s="37">
        <v>90000</v>
      </c>
      <c r="BG26" s="37" t="s">
        <v>191</v>
      </c>
      <c r="BH26" s="37">
        <v>20</v>
      </c>
      <c r="BI26" s="37">
        <v>30</v>
      </c>
      <c r="BJ26" s="37">
        <v>30</v>
      </c>
      <c r="BK26" s="37">
        <v>20</v>
      </c>
      <c r="BL26" s="37" t="s">
        <v>11</v>
      </c>
      <c r="BM26" s="37">
        <v>2</v>
      </c>
      <c r="BN26" s="37"/>
      <c r="BO26" s="24">
        <v>25</v>
      </c>
      <c r="BP26" s="321" t="s">
        <v>815</v>
      </c>
      <c r="BQ26" s="23">
        <v>60000</v>
      </c>
      <c r="BR26" s="23"/>
      <c r="BS26" s="23" t="s">
        <v>344</v>
      </c>
      <c r="BT26" s="23"/>
      <c r="BU26" s="24"/>
      <c r="BV26" s="23"/>
      <c r="BW26" s="126"/>
      <c r="BX26" s="23"/>
      <c r="BY26" s="23"/>
      <c r="BZ26" s="23"/>
      <c r="CA26" s="24"/>
      <c r="CB26" s="27"/>
      <c r="CC26" s="27"/>
      <c r="CF26" s="26"/>
      <c r="CG26" s="26"/>
      <c r="CH26" s="26"/>
      <c r="CI26" s="27"/>
      <c r="CJ26" s="26"/>
      <c r="CK26" s="26"/>
      <c r="CL26" s="26"/>
      <c r="CO26" s="27"/>
      <c r="CP26" s="27"/>
      <c r="CQ26" s="27"/>
      <c r="CR26" s="27"/>
      <c r="CS26" s="26"/>
      <c r="CT26" s="27"/>
      <c r="CU26" s="27"/>
      <c r="CV26" s="27"/>
      <c r="CW26" s="27"/>
      <c r="CX26" s="27"/>
      <c r="CY26" s="27"/>
      <c r="CZ26" s="27"/>
      <c r="DC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customHeight="1" hidden="1">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5" t="s">
        <v>176</v>
      </c>
      <c r="BA27" s="38">
        <v>4</v>
      </c>
      <c r="BB27" s="38">
        <v>7</v>
      </c>
      <c r="BC27" s="38">
        <v>1</v>
      </c>
      <c r="BD27" s="38">
        <v>10</v>
      </c>
      <c r="BE27" s="40" t="s">
        <v>593</v>
      </c>
      <c r="BF27" s="37">
        <v>160000</v>
      </c>
      <c r="BG27" s="37" t="s">
        <v>192</v>
      </c>
      <c r="BH27" s="37">
        <v>30</v>
      </c>
      <c r="BI27" s="37">
        <v>30</v>
      </c>
      <c r="BJ27" s="37">
        <v>30</v>
      </c>
      <c r="BK27" s="37">
        <v>20</v>
      </c>
      <c r="BL27" s="37" t="s">
        <v>11</v>
      </c>
      <c r="BM27" s="37">
        <v>1</v>
      </c>
      <c r="BN27" s="189"/>
      <c r="BO27" s="24">
        <v>26</v>
      </c>
      <c r="BP27" s="319" t="s">
        <v>34</v>
      </c>
      <c r="BQ27" s="23">
        <v>60000</v>
      </c>
      <c r="BR27" s="23" t="s">
        <v>336</v>
      </c>
      <c r="BS27" s="23" t="s">
        <v>344</v>
      </c>
      <c r="BT27" s="23"/>
      <c r="BU27" s="24"/>
      <c r="BV27" s="23"/>
      <c r="BW27" s="126"/>
      <c r="BX27" s="23"/>
      <c r="BY27" s="23"/>
      <c r="BZ27" s="23"/>
      <c r="CA27" s="24"/>
      <c r="CB27" s="27"/>
      <c r="CC27" s="27"/>
      <c r="CF27" s="26"/>
      <c r="CG27" s="26"/>
      <c r="CH27" s="26"/>
      <c r="CI27" s="27"/>
      <c r="CJ27" s="26"/>
      <c r="CK27" s="26"/>
      <c r="CL27" s="26"/>
      <c r="CO27" s="27"/>
      <c r="CP27" s="27"/>
      <c r="CQ27" s="27"/>
      <c r="CR27" s="27"/>
      <c r="CS27" s="26"/>
      <c r="CT27" s="27"/>
      <c r="CU27" s="27"/>
      <c r="CV27" s="27"/>
      <c r="CW27" s="27"/>
      <c r="CX27" s="27"/>
      <c r="CY27" s="27"/>
      <c r="CZ27" s="27"/>
      <c r="DC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customHeight="1" hidden="1">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253</v>
      </c>
      <c r="BA28" s="38">
        <v>4</v>
      </c>
      <c r="BB28" s="38">
        <v>3</v>
      </c>
      <c r="BC28" s="38">
        <v>2</v>
      </c>
      <c r="BD28" s="38">
        <v>9</v>
      </c>
      <c r="BE28" s="40" t="s">
        <v>254</v>
      </c>
      <c r="BF28" s="37">
        <v>70000</v>
      </c>
      <c r="BG28" s="189" t="s">
        <v>319</v>
      </c>
      <c r="BH28" s="189" t="s">
        <v>11</v>
      </c>
      <c r="BI28" s="189" t="s">
        <v>11</v>
      </c>
      <c r="BJ28" s="189" t="s">
        <v>11</v>
      </c>
      <c r="BK28" s="189" t="s">
        <v>11</v>
      </c>
      <c r="BL28" s="189" t="s">
        <v>11</v>
      </c>
      <c r="BM28" s="189">
        <v>11</v>
      </c>
      <c r="BN28" s="37"/>
      <c r="BO28" s="24">
        <v>27</v>
      </c>
      <c r="BP28" s="339" t="s">
        <v>814</v>
      </c>
      <c r="BQ28" s="23">
        <v>50000</v>
      </c>
      <c r="BR28" s="23"/>
      <c r="BS28" s="23" t="s">
        <v>344</v>
      </c>
      <c r="BT28" s="23"/>
      <c r="BU28" s="24"/>
      <c r="BV28" s="23"/>
      <c r="BW28" s="126"/>
      <c r="BX28" s="23"/>
      <c r="BY28" s="23"/>
      <c r="BZ28" s="23"/>
      <c r="CA28" s="24"/>
      <c r="CB28" s="27"/>
      <c r="CC28" s="27"/>
      <c r="CF28" s="26"/>
      <c r="CG28" s="26"/>
      <c r="CH28" s="26"/>
      <c r="CI28" s="27"/>
      <c r="CJ28" s="26"/>
      <c r="CK28" s="26"/>
      <c r="CL28" s="26"/>
      <c r="CO28" s="27"/>
      <c r="CP28" s="27"/>
      <c r="CQ28" s="27"/>
      <c r="CR28" s="27"/>
      <c r="CS28" s="26"/>
      <c r="CT28" s="27"/>
      <c r="CU28" s="27"/>
      <c r="CV28" s="27"/>
      <c r="CW28" s="27"/>
      <c r="CX28" s="27"/>
      <c r="CY28" s="27"/>
      <c r="CZ28" s="27"/>
      <c r="DC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customHeight="1" hidden="1">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7" t="s">
        <v>783</v>
      </c>
      <c r="BA29" s="22">
        <v>6</v>
      </c>
      <c r="BB29" s="22">
        <v>3</v>
      </c>
      <c r="BC29" s="22">
        <v>4</v>
      </c>
      <c r="BD29" s="22">
        <v>7</v>
      </c>
      <c r="BE29" s="39"/>
      <c r="BF29" s="23">
        <v>60000</v>
      </c>
      <c r="BG29" s="37" t="s">
        <v>193</v>
      </c>
      <c r="BH29" s="37">
        <v>20</v>
      </c>
      <c r="BI29" s="37">
        <v>20</v>
      </c>
      <c r="BJ29" s="37">
        <v>30</v>
      </c>
      <c r="BK29" s="37">
        <v>30</v>
      </c>
      <c r="BL29" s="37" t="s">
        <v>11</v>
      </c>
      <c r="BM29" s="37">
        <v>16</v>
      </c>
      <c r="BN29" s="37"/>
      <c r="BO29" s="24">
        <v>28</v>
      </c>
      <c r="BP29" s="319" t="s">
        <v>771</v>
      </c>
      <c r="BQ29" s="23">
        <v>70000</v>
      </c>
      <c r="BR29" s="23" t="s">
        <v>113</v>
      </c>
      <c r="BS29" s="23" t="s">
        <v>345</v>
      </c>
      <c r="BT29" s="23"/>
      <c r="BU29" s="24"/>
      <c r="BV29" s="23"/>
      <c r="BW29" s="126"/>
      <c r="BX29" s="23"/>
      <c r="BY29" s="23"/>
      <c r="BZ29" s="23"/>
      <c r="CA29" s="24"/>
      <c r="CB29" s="27"/>
      <c r="CC29" s="27"/>
      <c r="CE29" s="26"/>
      <c r="CF29" s="26"/>
      <c r="CG29" s="26"/>
      <c r="CH29" s="26"/>
      <c r="CI29" s="27"/>
      <c r="CJ29" s="26"/>
      <c r="CK29" s="26"/>
      <c r="CL29" s="26"/>
      <c r="CO29" s="27"/>
      <c r="CQ29" s="27"/>
      <c r="CR29" s="27"/>
      <c r="CS29" s="26"/>
      <c r="CT29" s="27"/>
      <c r="CU29" s="27"/>
      <c r="CV29" s="27"/>
      <c r="CW29" s="27"/>
      <c r="CX29" s="27"/>
      <c r="CY29" s="27"/>
      <c r="CZ29" s="27"/>
      <c r="DA29" s="27"/>
      <c r="DB29" s="27"/>
      <c r="DC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customHeight="1" hidden="1">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7" t="s">
        <v>784</v>
      </c>
      <c r="BA30" s="22">
        <v>6</v>
      </c>
      <c r="BB30" s="22">
        <v>3</v>
      </c>
      <c r="BC30" s="22">
        <v>4</v>
      </c>
      <c r="BD30" s="22">
        <v>7</v>
      </c>
      <c r="BE30" s="39" t="s">
        <v>79</v>
      </c>
      <c r="BF30" s="23">
        <v>70000</v>
      </c>
      <c r="BG30" s="37" t="s">
        <v>194</v>
      </c>
      <c r="BH30" s="37">
        <v>20</v>
      </c>
      <c r="BI30" s="37">
        <v>20</v>
      </c>
      <c r="BJ30" s="37">
        <v>20</v>
      </c>
      <c r="BK30" s="37">
        <v>30</v>
      </c>
      <c r="BL30" s="37" t="s">
        <v>11</v>
      </c>
      <c r="BM30" s="37">
        <v>2</v>
      </c>
      <c r="BN30" s="37"/>
      <c r="BO30" s="24">
        <v>29</v>
      </c>
      <c r="BP30" s="319" t="s">
        <v>778</v>
      </c>
      <c r="BQ30" s="23">
        <v>70000</v>
      </c>
      <c r="BR30" s="23"/>
      <c r="BS30" s="23" t="s">
        <v>344</v>
      </c>
      <c r="BT30" s="23"/>
      <c r="BU30" s="24"/>
      <c r="BV30" s="23"/>
      <c r="BW30" s="126"/>
      <c r="BX30" s="23"/>
      <c r="BY30" s="23"/>
      <c r="BZ30" s="23"/>
      <c r="CA30" s="24"/>
      <c r="CB30" s="27"/>
      <c r="CC30" s="27"/>
      <c r="CE30" s="26"/>
      <c r="CF30" s="26"/>
      <c r="CG30" s="26"/>
      <c r="CH30" s="26"/>
      <c r="CI30" s="27"/>
      <c r="CJ30" s="26"/>
      <c r="CK30" s="26"/>
      <c r="CL30" s="26"/>
      <c r="CO30" s="27"/>
      <c r="CQ30" s="27"/>
      <c r="CR30" s="27"/>
      <c r="CS30" s="26"/>
      <c r="CT30" s="27"/>
      <c r="CU30" s="27"/>
      <c r="CV30" s="27"/>
      <c r="CW30" s="27"/>
      <c r="CX30" s="27"/>
      <c r="CY30" s="27"/>
      <c r="CZ30" s="27"/>
      <c r="DA30" s="27"/>
      <c r="DB30" s="27"/>
      <c r="DC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customHeight="1" hidden="1">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5" t="s">
        <v>785</v>
      </c>
      <c r="BA31" s="38">
        <v>8</v>
      </c>
      <c r="BB31" s="38">
        <v>3</v>
      </c>
      <c r="BC31" s="38">
        <v>4</v>
      </c>
      <c r="BD31" s="38">
        <v>7</v>
      </c>
      <c r="BE31" s="40" t="s">
        <v>472</v>
      </c>
      <c r="BF31" s="37">
        <v>100000</v>
      </c>
      <c r="BG31" s="37" t="s">
        <v>195</v>
      </c>
      <c r="BH31" s="37">
        <v>20</v>
      </c>
      <c r="BI31" s="37">
        <v>20</v>
      </c>
      <c r="BJ31" s="37">
        <v>30</v>
      </c>
      <c r="BK31" s="37">
        <v>30</v>
      </c>
      <c r="BL31" s="37" t="s">
        <v>11</v>
      </c>
      <c r="BM31" s="37">
        <v>4</v>
      </c>
      <c r="BN31" s="37"/>
      <c r="BO31" s="24">
        <v>30</v>
      </c>
      <c r="BP31" s="319" t="s">
        <v>84</v>
      </c>
      <c r="BQ31" s="23">
        <v>70000</v>
      </c>
      <c r="BR31" s="23" t="s">
        <v>86</v>
      </c>
      <c r="BS31" s="23" t="s">
        <v>344</v>
      </c>
      <c r="BT31" s="23"/>
      <c r="BU31" s="24"/>
      <c r="BV31" s="23"/>
      <c r="BW31" s="126"/>
      <c r="BX31" s="23"/>
      <c r="BY31" s="23"/>
      <c r="BZ31" s="23"/>
      <c r="CA31" s="24"/>
      <c r="CB31" s="27"/>
      <c r="CC31" s="27"/>
      <c r="CD31" s="21"/>
      <c r="CE31" s="26"/>
      <c r="CF31" s="26"/>
      <c r="CG31" s="26"/>
      <c r="CH31" s="26"/>
      <c r="CI31" s="27"/>
      <c r="CJ31" s="26"/>
      <c r="CK31" s="26"/>
      <c r="CL31" s="26"/>
      <c r="CO31" s="27"/>
      <c r="CQ31" s="27"/>
      <c r="CR31" s="27"/>
      <c r="CS31" s="26"/>
      <c r="CT31" s="27"/>
      <c r="CU31" s="27"/>
      <c r="CV31" s="27"/>
      <c r="CW31" s="27"/>
      <c r="CX31" s="27"/>
      <c r="CY31" s="27"/>
      <c r="CZ31" s="27"/>
      <c r="DA31" s="27"/>
      <c r="DB31" s="27"/>
      <c r="DC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customHeight="1" hidden="1">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5" t="s">
        <v>786</v>
      </c>
      <c r="BA32" s="38">
        <v>7</v>
      </c>
      <c r="BB32" s="38">
        <v>3</v>
      </c>
      <c r="BC32" s="38">
        <v>4</v>
      </c>
      <c r="BD32" s="38">
        <v>8</v>
      </c>
      <c r="BE32" s="40" t="s">
        <v>471</v>
      </c>
      <c r="BF32" s="37">
        <v>110000</v>
      </c>
      <c r="BG32" s="37" t="s">
        <v>196</v>
      </c>
      <c r="BH32" s="37">
        <v>20</v>
      </c>
      <c r="BI32" s="37">
        <v>20</v>
      </c>
      <c r="BJ32" s="37">
        <v>30</v>
      </c>
      <c r="BK32" s="37">
        <v>30</v>
      </c>
      <c r="BL32" s="37" t="s">
        <v>11</v>
      </c>
      <c r="BM32" s="37">
        <v>2</v>
      </c>
      <c r="BN32" s="189"/>
      <c r="BO32" s="24">
        <v>31</v>
      </c>
      <c r="BP32" s="319" t="s">
        <v>36</v>
      </c>
      <c r="BQ32" s="23">
        <v>50000</v>
      </c>
      <c r="BR32" s="23" t="s">
        <v>66</v>
      </c>
      <c r="BS32" s="23" t="s">
        <v>344</v>
      </c>
      <c r="BT32" s="23"/>
      <c r="BU32" s="24"/>
      <c r="BV32" s="23"/>
      <c r="BW32" s="126"/>
      <c r="BX32" s="23"/>
      <c r="BY32" s="23"/>
      <c r="BZ32" s="23"/>
      <c r="CA32" s="24"/>
      <c r="CB32" s="27"/>
      <c r="CC32" s="27"/>
      <c r="CD32" s="33"/>
      <c r="CE32" s="26"/>
      <c r="CF32" s="26"/>
      <c r="CG32" s="26"/>
      <c r="CH32" s="26"/>
      <c r="CI32" s="27"/>
      <c r="CJ32" s="26"/>
      <c r="CK32" s="26"/>
      <c r="CL32" s="26"/>
      <c r="CO32" s="27"/>
      <c r="CQ32" s="27"/>
      <c r="CR32" s="27"/>
      <c r="CS32" s="26"/>
      <c r="CT32" s="27"/>
      <c r="CU32" s="27"/>
      <c r="CV32" s="27"/>
      <c r="CW32" s="27"/>
      <c r="CX32" s="27"/>
      <c r="CY32" s="27"/>
      <c r="CZ32" s="27"/>
      <c r="DA32" s="27"/>
      <c r="DB32" s="27"/>
      <c r="DC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customHeight="1" hidden="1">
      <c r="V33" s="242">
        <f aca="true" t="shared" si="26" ref="V33:V48">IF(AL3=1,0,IF(AL3=5,50,IF(AL3=4,40,IF(AL3=3,30,IF(AL3=2,30,VLOOKUP($D3,$AZ:$BL,HLOOKUP(VLOOKUP(AL3,$AQ$32:$AS$87,2,FALSE),$AZ$1:$BL$2,2,FALSE),FALSE))))))</f>
        <v>40</v>
      </c>
      <c r="W33" s="242">
        <f aca="true" t="shared" si="27" ref="W33:W48">IF(AM3=1,0,IF(AM3=5,50,IF(AM3=4,40,IF(AM3=3,30,IF(AM3=2,30,VLOOKUP($D3,$AZ:$BL,HLOOKUP(VLOOKUP(AM3,$AQ$32:$AS$87,2,FALSE),$AZ$1:$BL$2,2,FALSE),FALSE))))))</f>
        <v>20</v>
      </c>
      <c r="X33" s="242">
        <f aca="true" t="shared" si="28" ref="X33:X48">IF(AN3=1,0,IF(AN3=5,50,IF(AN3=4,40,IF(AN3=3,30,IF(AN3=2,30,VLOOKUP($D3,$AZ:$BL,HLOOKUP(VLOOKUP(AN3,$AQ$32:$AS$87,2,FALSE),$AZ$1:$BL$2,2,FALSE),FALSE))))))</f>
        <v>20</v>
      </c>
      <c r="Y33" s="242">
        <f aca="true" t="shared" si="29" ref="Y33:Y48">IF(AO3=1,0,IF(AO3=5,50,IF(AO3=4,40,IF(AO3=3,30,IF(AO3=2,30,VLOOKUP($D3,$AZ:$BL,HLOOKUP(VLOOKUP(AO3,$AQ$32:$AS$87,2,FALSE),$AZ$1:$BL$2,2,FALSE),FALSE))))))</f>
        <v>30</v>
      </c>
      <c r="Z33" s="242">
        <f aca="true" t="shared" si="30" ref="Z33:Z48">IF(AP3=1,0,IF(AP3=5,50,IF(AP3=4,40,IF(AP3=3,30,IF(AP3=2,30,VLOOKUP($D3,$AZ:$BL,HLOOKUP(VLOOKUP(AP3,$AQ$32:$AS$87,2,FALSE),$AZ$1:$BL$2,2,FALSE),FALSE))))))</f>
        <v>0</v>
      </c>
      <c r="AA33" s="242">
        <f aca="true" t="shared" si="31" ref="AA33:AA48">IF(AQ3=1,0,IF(AQ3=5,50,IF(AQ3=4,40,IF(AQ3=3,30,IF(AQ3=2,30,VLOOKUP($D3,$AZ:$BL,HLOOKUP(VLOOKUP(AQ3,$AQ$32:$AS$87,2,FALSE),$AZ$1:$BL$2,2,FALSE),FALSE))))))</f>
        <v>0</v>
      </c>
      <c r="AC33" s="241">
        <v>1</v>
      </c>
      <c r="AQ33" s="237">
        <f>AQ32+1</f>
        <v>2</v>
      </c>
      <c r="AR33" s="237" t="s">
        <v>577</v>
      </c>
      <c r="AS33" s="238" t="s">
        <v>580</v>
      </c>
      <c r="AY33" s="20">
        <f t="shared" si="23"/>
        <v>31</v>
      </c>
      <c r="AZ33" s="315" t="s">
        <v>788</v>
      </c>
      <c r="BA33" s="38">
        <v>6</v>
      </c>
      <c r="BB33" s="38">
        <v>3</v>
      </c>
      <c r="BC33" s="38">
        <v>4</v>
      </c>
      <c r="BD33" s="38">
        <v>7</v>
      </c>
      <c r="BE33" s="40" t="s">
        <v>251</v>
      </c>
      <c r="BF33" s="37">
        <v>60000</v>
      </c>
      <c r="BG33" s="189" t="s">
        <v>320</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customHeight="1" hidden="1">
      <c r="V34" s="242">
        <f t="shared" si="26"/>
        <v>0</v>
      </c>
      <c r="W34" s="242">
        <f t="shared" si="27"/>
        <v>0</v>
      </c>
      <c r="X34" s="242">
        <f t="shared" si="28"/>
        <v>0</v>
      </c>
      <c r="Y34" s="242">
        <f t="shared" si="29"/>
        <v>0</v>
      </c>
      <c r="Z34" s="242">
        <f t="shared" si="30"/>
        <v>0</v>
      </c>
      <c r="AA34" s="242">
        <f t="shared" si="31"/>
        <v>0</v>
      </c>
      <c r="AC34" s="241">
        <v>2</v>
      </c>
      <c r="AQ34" s="237">
        <f>AQ33+1</f>
        <v>3</v>
      </c>
      <c r="AR34" s="237" t="s">
        <v>3</v>
      </c>
      <c r="AS34" s="238" t="s">
        <v>578</v>
      </c>
      <c r="AY34" s="20">
        <f t="shared" si="23"/>
        <v>32</v>
      </c>
      <c r="AZ34" s="317" t="s">
        <v>23</v>
      </c>
      <c r="BA34" s="22">
        <v>6</v>
      </c>
      <c r="BB34" s="22">
        <v>2</v>
      </c>
      <c r="BC34" s="22">
        <v>3</v>
      </c>
      <c r="BD34" s="22">
        <v>7</v>
      </c>
      <c r="BE34" s="39" t="s">
        <v>463</v>
      </c>
      <c r="BF34" s="23">
        <v>40000</v>
      </c>
      <c r="BG34" s="23" t="s">
        <v>220</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customHeight="1" hidden="1">
      <c r="V35" s="242">
        <f t="shared" si="26"/>
        <v>20</v>
      </c>
      <c r="W35" s="242">
        <f t="shared" si="27"/>
        <v>40</v>
      </c>
      <c r="X35" s="242">
        <f t="shared" si="28"/>
        <v>20</v>
      </c>
      <c r="Y35" s="242">
        <f t="shared" si="29"/>
        <v>0</v>
      </c>
      <c r="Z35" s="242">
        <f t="shared" si="30"/>
        <v>0</v>
      </c>
      <c r="AA35" s="242">
        <f t="shared" si="31"/>
        <v>0</v>
      </c>
      <c r="AC35" s="241">
        <v>3</v>
      </c>
      <c r="AQ35" s="237">
        <f aca="true" t="shared" si="32" ref="AQ35:AQ87">AQ34+1</f>
        <v>4</v>
      </c>
      <c r="AR35" s="237" t="s">
        <v>2</v>
      </c>
      <c r="AS35" s="238" t="s">
        <v>579</v>
      </c>
      <c r="AX35" s="28" t="s">
        <v>418</v>
      </c>
      <c r="AY35" s="20">
        <f t="shared" si="23"/>
        <v>33</v>
      </c>
      <c r="AZ35" s="315" t="s">
        <v>753</v>
      </c>
      <c r="BA35" s="38">
        <v>6</v>
      </c>
      <c r="BB35" s="38">
        <v>2</v>
      </c>
      <c r="BC35" s="38">
        <v>3</v>
      </c>
      <c r="BD35" s="38">
        <v>7</v>
      </c>
      <c r="BE35" s="39" t="s">
        <v>590</v>
      </c>
      <c r="BF35" s="37">
        <v>40000</v>
      </c>
      <c r="BG35" s="23" t="s">
        <v>221</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customHeight="1" hidden="1">
      <c r="V36" s="242">
        <f t="shared" si="26"/>
        <v>0</v>
      </c>
      <c r="W36" s="242">
        <f t="shared" si="27"/>
        <v>0</v>
      </c>
      <c r="X36" s="242">
        <f t="shared" si="28"/>
        <v>0</v>
      </c>
      <c r="Y36" s="242">
        <f t="shared" si="29"/>
        <v>0</v>
      </c>
      <c r="Z36" s="242">
        <f t="shared" si="30"/>
        <v>0</v>
      </c>
      <c r="AA36" s="242">
        <f t="shared" si="31"/>
        <v>0</v>
      </c>
      <c r="AC36" s="241">
        <v>4</v>
      </c>
      <c r="AQ36" s="237">
        <f t="shared" si="32"/>
        <v>5</v>
      </c>
      <c r="AR36" s="237" t="s">
        <v>1</v>
      </c>
      <c r="AS36" s="238" t="s">
        <v>581</v>
      </c>
      <c r="AX36" s="28" t="s">
        <v>417</v>
      </c>
      <c r="AY36" s="20">
        <f t="shared" si="23"/>
        <v>34</v>
      </c>
      <c r="AZ36" s="315" t="s">
        <v>121</v>
      </c>
      <c r="BA36" s="38">
        <v>7</v>
      </c>
      <c r="BB36" s="38">
        <v>2</v>
      </c>
      <c r="BC36" s="38">
        <v>3</v>
      </c>
      <c r="BD36" s="38">
        <v>7</v>
      </c>
      <c r="BE36" s="39" t="s">
        <v>592</v>
      </c>
      <c r="BF36" s="37">
        <v>70000</v>
      </c>
      <c r="BG36" s="23" t="s">
        <v>222</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customHeight="1" hidden="1">
      <c r="V37" s="242">
        <f t="shared" si="26"/>
        <v>20</v>
      </c>
      <c r="W37" s="242">
        <f t="shared" si="27"/>
        <v>20</v>
      </c>
      <c r="X37" s="242">
        <f t="shared" si="28"/>
        <v>0</v>
      </c>
      <c r="Y37" s="242">
        <f t="shared" si="29"/>
        <v>0</v>
      </c>
      <c r="Z37" s="242">
        <f t="shared" si="30"/>
        <v>0</v>
      </c>
      <c r="AA37" s="242">
        <f t="shared" si="31"/>
        <v>0</v>
      </c>
      <c r="AC37" s="241">
        <v>5</v>
      </c>
      <c r="AQ37" s="237">
        <f t="shared" si="32"/>
        <v>6</v>
      </c>
      <c r="AR37" s="237" t="s">
        <v>517</v>
      </c>
      <c r="AS37" s="238" t="s">
        <v>346</v>
      </c>
      <c r="AX37" s="28" t="s">
        <v>396</v>
      </c>
      <c r="AY37" s="20">
        <f t="shared" si="23"/>
        <v>35</v>
      </c>
      <c r="AZ37" s="315" t="s">
        <v>122</v>
      </c>
      <c r="BA37" s="38">
        <v>6</v>
      </c>
      <c r="BB37" s="38">
        <v>2</v>
      </c>
      <c r="BC37" s="38">
        <v>3</v>
      </c>
      <c r="BD37" s="38">
        <v>7</v>
      </c>
      <c r="BE37" s="40" t="s">
        <v>591</v>
      </c>
      <c r="BF37" s="37">
        <v>40000</v>
      </c>
      <c r="BG37" s="23" t="s">
        <v>223</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customHeight="1" hidden="1">
      <c r="V38" s="242">
        <f t="shared" si="26"/>
        <v>20</v>
      </c>
      <c r="W38" s="242">
        <f t="shared" si="27"/>
        <v>20</v>
      </c>
      <c r="X38" s="242">
        <f t="shared" si="28"/>
        <v>0</v>
      </c>
      <c r="Y38" s="242">
        <f t="shared" si="29"/>
        <v>0</v>
      </c>
      <c r="Z38" s="242">
        <f t="shared" si="30"/>
        <v>0</v>
      </c>
      <c r="AA38" s="242">
        <f t="shared" si="31"/>
        <v>0</v>
      </c>
      <c r="AC38" s="241">
        <v>6</v>
      </c>
      <c r="AQ38" s="237">
        <f t="shared" si="32"/>
        <v>7</v>
      </c>
      <c r="AR38" s="237" t="s">
        <v>517</v>
      </c>
      <c r="AS38" s="238" t="s">
        <v>347</v>
      </c>
      <c r="AX38" s="28" t="s">
        <v>397</v>
      </c>
      <c r="AY38" s="20">
        <f t="shared" si="23"/>
        <v>36</v>
      </c>
      <c r="AZ38" s="315" t="s">
        <v>878</v>
      </c>
      <c r="BA38" s="22">
        <v>6</v>
      </c>
      <c r="BB38" s="22">
        <v>2</v>
      </c>
      <c r="BC38" s="22">
        <v>3</v>
      </c>
      <c r="BD38" s="22">
        <v>7</v>
      </c>
      <c r="BE38" s="39" t="s">
        <v>899</v>
      </c>
      <c r="BF38" s="23">
        <v>60000</v>
      </c>
      <c r="BG38" s="23" t="s">
        <v>224</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customHeight="1" hidden="1">
      <c r="V39" s="242">
        <f t="shared" si="26"/>
        <v>20</v>
      </c>
      <c r="W39" s="242">
        <f t="shared" si="27"/>
        <v>20</v>
      </c>
      <c r="X39" s="242">
        <f t="shared" si="28"/>
        <v>0</v>
      </c>
      <c r="Y39" s="242">
        <f t="shared" si="29"/>
        <v>0</v>
      </c>
      <c r="Z39" s="242">
        <f t="shared" si="30"/>
        <v>0</v>
      </c>
      <c r="AA39" s="242">
        <f t="shared" si="31"/>
        <v>0</v>
      </c>
      <c r="AC39" s="241">
        <v>7</v>
      </c>
      <c r="AQ39" s="237">
        <f t="shared" si="32"/>
        <v>8</v>
      </c>
      <c r="AR39" s="237" t="s">
        <v>517</v>
      </c>
      <c r="AS39" s="238" t="s">
        <v>348</v>
      </c>
      <c r="AX39" s="28" t="s">
        <v>398</v>
      </c>
      <c r="AY39" s="20">
        <f t="shared" si="23"/>
        <v>37</v>
      </c>
      <c r="AZ39" s="353" t="s">
        <v>879</v>
      </c>
      <c r="BA39" s="22">
        <v>6</v>
      </c>
      <c r="BB39" s="22">
        <v>2</v>
      </c>
      <c r="BC39" s="22">
        <v>3</v>
      </c>
      <c r="BD39" s="22">
        <v>7</v>
      </c>
      <c r="BE39" s="39" t="s">
        <v>901</v>
      </c>
      <c r="BF39" s="23">
        <v>70000</v>
      </c>
      <c r="BG39" s="23" t="s">
        <v>321</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customHeight="1" hidden="1">
      <c r="V40" s="242">
        <f t="shared" si="26"/>
        <v>0</v>
      </c>
      <c r="W40" s="242">
        <f t="shared" si="27"/>
        <v>0</v>
      </c>
      <c r="X40" s="242">
        <f t="shared" si="28"/>
        <v>0</v>
      </c>
      <c r="Y40" s="242">
        <f t="shared" si="29"/>
        <v>0</v>
      </c>
      <c r="Z40" s="242">
        <f t="shared" si="30"/>
        <v>0</v>
      </c>
      <c r="AA40" s="242">
        <f t="shared" si="31"/>
        <v>0</v>
      </c>
      <c r="AC40" s="241">
        <v>8</v>
      </c>
      <c r="AQ40" s="237">
        <f t="shared" si="32"/>
        <v>9</v>
      </c>
      <c r="AR40" s="237" t="s">
        <v>517</v>
      </c>
      <c r="AS40" s="238" t="s">
        <v>349</v>
      </c>
      <c r="AX40" s="28" t="s">
        <v>120</v>
      </c>
      <c r="AY40" s="20">
        <f t="shared" si="23"/>
        <v>38</v>
      </c>
      <c r="AZ40" s="315" t="s">
        <v>123</v>
      </c>
      <c r="BA40" s="38">
        <v>3</v>
      </c>
      <c r="BB40" s="38">
        <v>7</v>
      </c>
      <c r="BC40" s="38">
        <v>3</v>
      </c>
      <c r="BD40" s="38">
        <v>7</v>
      </c>
      <c r="BE40" s="40" t="s">
        <v>468</v>
      </c>
      <c r="BF40" s="37">
        <v>70000</v>
      </c>
      <c r="BG40" s="23" t="s">
        <v>438</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customHeight="1" hidden="1">
      <c r="V41" s="242">
        <f t="shared" si="26"/>
        <v>20</v>
      </c>
      <c r="W41" s="242">
        <f t="shared" si="27"/>
        <v>0</v>
      </c>
      <c r="X41" s="242">
        <f t="shared" si="28"/>
        <v>0</v>
      </c>
      <c r="Y41" s="242">
        <f t="shared" si="29"/>
        <v>0</v>
      </c>
      <c r="Z41" s="242">
        <f t="shared" si="30"/>
        <v>0</v>
      </c>
      <c r="AA41" s="242">
        <f t="shared" si="31"/>
        <v>0</v>
      </c>
      <c r="AC41" s="241">
        <v>9</v>
      </c>
      <c r="AQ41" s="237">
        <f t="shared" si="32"/>
        <v>10</v>
      </c>
      <c r="AR41" s="237" t="s">
        <v>517</v>
      </c>
      <c r="AS41" s="238" t="s">
        <v>350</v>
      </c>
      <c r="AX41" s="28" t="s">
        <v>399</v>
      </c>
      <c r="AY41" s="20">
        <f t="shared" si="23"/>
        <v>39</v>
      </c>
      <c r="AZ41" s="315" t="s">
        <v>437</v>
      </c>
      <c r="BA41" s="38">
        <v>4</v>
      </c>
      <c r="BB41" s="38">
        <v>5</v>
      </c>
      <c r="BC41" s="38">
        <v>1</v>
      </c>
      <c r="BD41" s="38">
        <v>9</v>
      </c>
      <c r="BE41" s="40" t="s">
        <v>469</v>
      </c>
      <c r="BF41" s="37">
        <v>110000</v>
      </c>
      <c r="BG41" s="23" t="s">
        <v>902</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customHeight="1" hidden="1">
      <c r="V42" s="242">
        <f t="shared" si="26"/>
        <v>0</v>
      </c>
      <c r="W42" s="242">
        <f t="shared" si="27"/>
        <v>0</v>
      </c>
      <c r="X42" s="242">
        <f t="shared" si="28"/>
        <v>0</v>
      </c>
      <c r="Y42" s="242">
        <f t="shared" si="29"/>
        <v>0</v>
      </c>
      <c r="Z42" s="242">
        <f t="shared" si="30"/>
        <v>0</v>
      </c>
      <c r="AA42" s="242">
        <f t="shared" si="31"/>
        <v>0</v>
      </c>
      <c r="AC42" s="241">
        <v>10</v>
      </c>
      <c r="AQ42" s="237">
        <f t="shared" si="32"/>
        <v>11</v>
      </c>
      <c r="AR42" s="237" t="s">
        <v>517</v>
      </c>
      <c r="AS42" s="238" t="s">
        <v>351</v>
      </c>
      <c r="AX42" s="28" t="s">
        <v>400</v>
      </c>
      <c r="AY42" s="20">
        <f t="shared" si="23"/>
        <v>40</v>
      </c>
      <c r="AZ42" s="33" t="s">
        <v>255</v>
      </c>
      <c r="BA42" s="38">
        <v>6</v>
      </c>
      <c r="BB42" s="38">
        <v>2</v>
      </c>
      <c r="BC42" s="38">
        <v>3</v>
      </c>
      <c r="BD42" s="38">
        <v>7</v>
      </c>
      <c r="BE42" s="40" t="s">
        <v>256</v>
      </c>
      <c r="BF42" s="37">
        <v>40000</v>
      </c>
      <c r="BG42" s="23" t="s">
        <v>903</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customHeight="1" hidden="1">
      <c r="V43" s="242">
        <f t="shared" si="26"/>
        <v>0</v>
      </c>
      <c r="W43" s="242">
        <f t="shared" si="27"/>
        <v>0</v>
      </c>
      <c r="X43" s="242">
        <f t="shared" si="28"/>
        <v>0</v>
      </c>
      <c r="Y43" s="242">
        <f t="shared" si="29"/>
        <v>0</v>
      </c>
      <c r="Z43" s="242">
        <f t="shared" si="30"/>
        <v>0</v>
      </c>
      <c r="AA43" s="242">
        <f t="shared" si="31"/>
        <v>0</v>
      </c>
      <c r="AC43" s="241">
        <v>11</v>
      </c>
      <c r="AQ43" s="237">
        <f t="shared" si="32"/>
        <v>12</v>
      </c>
      <c r="AR43" s="237" t="s">
        <v>517</v>
      </c>
      <c r="AS43" s="238" t="s">
        <v>352</v>
      </c>
      <c r="AX43" s="28" t="s">
        <v>401</v>
      </c>
      <c r="AY43" s="20">
        <f t="shared" si="23"/>
        <v>41</v>
      </c>
      <c r="AZ43" s="315" t="s">
        <v>754</v>
      </c>
      <c r="BA43" s="38">
        <v>5</v>
      </c>
      <c r="BB43" s="38">
        <v>2</v>
      </c>
      <c r="BC43" s="38">
        <v>3</v>
      </c>
      <c r="BD43" s="38">
        <v>6</v>
      </c>
      <c r="BE43" s="40" t="s">
        <v>463</v>
      </c>
      <c r="BF43" s="37">
        <v>30000</v>
      </c>
      <c r="BG43" s="23" t="s">
        <v>197</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customHeight="1" hidden="1">
      <c r="V44" s="242">
        <f t="shared" si="26"/>
        <v>40</v>
      </c>
      <c r="W44" s="242">
        <f t="shared" si="27"/>
        <v>20</v>
      </c>
      <c r="X44" s="242">
        <f t="shared" si="28"/>
        <v>20</v>
      </c>
      <c r="Y44" s="242">
        <f t="shared" si="29"/>
        <v>0</v>
      </c>
      <c r="Z44" s="242">
        <f t="shared" si="30"/>
        <v>0</v>
      </c>
      <c r="AA44" s="242">
        <f t="shared" si="31"/>
        <v>0</v>
      </c>
      <c r="AC44" s="241">
        <v>12</v>
      </c>
      <c r="AQ44" s="237">
        <f t="shared" si="32"/>
        <v>13</v>
      </c>
      <c r="AR44" s="237" t="s">
        <v>517</v>
      </c>
      <c r="AS44" s="238" t="s">
        <v>353</v>
      </c>
      <c r="AX44" s="28" t="s">
        <v>402</v>
      </c>
      <c r="AY44" s="20">
        <f t="shared" si="23"/>
        <v>42</v>
      </c>
      <c r="AZ44" s="315" t="s">
        <v>755</v>
      </c>
      <c r="BA44" s="38">
        <v>2</v>
      </c>
      <c r="BB44" s="38">
        <v>6</v>
      </c>
      <c r="BC44" s="38">
        <v>1</v>
      </c>
      <c r="BD44" s="38">
        <v>10</v>
      </c>
      <c r="BE44" s="40" t="s">
        <v>756</v>
      </c>
      <c r="BF44" s="37">
        <v>120000</v>
      </c>
      <c r="BG44" s="189" t="s">
        <v>439</v>
      </c>
      <c r="BH44" s="189">
        <v>30</v>
      </c>
      <c r="BI44" s="189">
        <v>30</v>
      </c>
      <c r="BJ44" s="189">
        <v>30</v>
      </c>
      <c r="BK44" s="189">
        <v>20</v>
      </c>
      <c r="BL44" s="189" t="s">
        <v>11</v>
      </c>
      <c r="BM44" s="37">
        <v>2</v>
      </c>
      <c r="BN44" s="23"/>
      <c r="BO44" s="24"/>
      <c r="BP44" s="25"/>
      <c r="BQ44" s="23"/>
      <c r="BR44" s="23"/>
      <c r="BS44" s="23"/>
      <c r="BT44" s="23"/>
      <c r="BU44" s="24"/>
      <c r="BV44" s="23"/>
      <c r="BW44" s="126"/>
      <c r="BX44" s="23"/>
      <c r="BY44" s="23"/>
      <c r="BZ44" s="23"/>
      <c r="CA44" s="24"/>
      <c r="GO44" s="23"/>
    </row>
    <row r="45" spans="22:197" ht="18" customHeight="1" hidden="1">
      <c r="V45" s="242">
        <f t="shared" si="26"/>
        <v>0</v>
      </c>
      <c r="W45" s="242">
        <f t="shared" si="27"/>
        <v>0</v>
      </c>
      <c r="X45" s="242">
        <f t="shared" si="28"/>
        <v>0</v>
      </c>
      <c r="Y45" s="242">
        <f t="shared" si="29"/>
        <v>0</v>
      </c>
      <c r="Z45" s="242">
        <f t="shared" si="30"/>
        <v>0</v>
      </c>
      <c r="AA45" s="242">
        <f t="shared" si="31"/>
        <v>0</v>
      </c>
      <c r="AB45" s="251"/>
      <c r="AC45" s="252">
        <v>13</v>
      </c>
      <c r="AD45" s="254"/>
      <c r="AE45" s="254"/>
      <c r="AF45" s="254"/>
      <c r="AG45" s="254"/>
      <c r="AH45" s="254"/>
      <c r="AI45" s="254"/>
      <c r="AJ45" s="254"/>
      <c r="AQ45" s="237">
        <f t="shared" si="32"/>
        <v>14</v>
      </c>
      <c r="AR45" s="237" t="s">
        <v>517</v>
      </c>
      <c r="AS45" s="238" t="s">
        <v>354</v>
      </c>
      <c r="AX45" s="28" t="s">
        <v>403</v>
      </c>
      <c r="AY45" s="20">
        <f t="shared" si="23"/>
        <v>43</v>
      </c>
      <c r="AZ45" s="33" t="s">
        <v>257</v>
      </c>
      <c r="BA45" s="38">
        <v>5</v>
      </c>
      <c r="BB45" s="38">
        <v>2</v>
      </c>
      <c r="BC45" s="38">
        <v>3</v>
      </c>
      <c r="BD45" s="38">
        <v>6</v>
      </c>
      <c r="BE45" s="40" t="s">
        <v>256</v>
      </c>
      <c r="BF45" s="37">
        <v>30000</v>
      </c>
      <c r="BG45" s="189" t="s">
        <v>440</v>
      </c>
      <c r="BH45" s="189" t="s">
        <v>11</v>
      </c>
      <c r="BI45" s="189" t="s">
        <v>11</v>
      </c>
      <c r="BJ45" s="189" t="s">
        <v>11</v>
      </c>
      <c r="BK45" s="189" t="s">
        <v>11</v>
      </c>
      <c r="BL45" s="189" t="s">
        <v>11</v>
      </c>
      <c r="BM45" s="189">
        <v>11</v>
      </c>
      <c r="BN45" s="23"/>
      <c r="BO45" s="24"/>
      <c r="BP45" s="25"/>
      <c r="BQ45" s="23"/>
      <c r="BR45" s="23"/>
      <c r="BS45" s="23"/>
      <c r="BT45" s="37"/>
      <c r="BU45" s="41"/>
      <c r="BV45" s="37"/>
      <c r="BW45" s="127"/>
      <c r="BX45" s="37"/>
      <c r="BY45" s="37"/>
      <c r="BZ45" s="37"/>
      <c r="CA45" s="41"/>
      <c r="GO45" s="23"/>
    </row>
    <row r="46" spans="22:197" ht="18" customHeight="1" hidden="1">
      <c r="V46" s="242">
        <f t="shared" si="26"/>
        <v>0</v>
      </c>
      <c r="W46" s="242">
        <f t="shared" si="27"/>
        <v>0</v>
      </c>
      <c r="X46" s="242">
        <f t="shared" si="28"/>
        <v>0</v>
      </c>
      <c r="Y46" s="242">
        <f t="shared" si="29"/>
        <v>0</v>
      </c>
      <c r="Z46" s="242">
        <f t="shared" si="30"/>
        <v>0</v>
      </c>
      <c r="AA46" s="242">
        <f t="shared" si="31"/>
        <v>0</v>
      </c>
      <c r="AC46" s="241">
        <v>14</v>
      </c>
      <c r="AQ46" s="237">
        <f t="shared" si="32"/>
        <v>15</v>
      </c>
      <c r="AR46" s="237" t="s">
        <v>517</v>
      </c>
      <c r="AS46" s="238" t="s">
        <v>355</v>
      </c>
      <c r="AX46" s="28" t="s">
        <v>251</v>
      </c>
      <c r="AY46" s="20">
        <f t="shared" si="23"/>
        <v>44</v>
      </c>
      <c r="AZ46" s="317" t="s">
        <v>20</v>
      </c>
      <c r="BA46" s="22">
        <v>6</v>
      </c>
      <c r="BB46" s="22">
        <v>3</v>
      </c>
      <c r="BC46" s="22">
        <v>4</v>
      </c>
      <c r="BD46" s="22">
        <v>8</v>
      </c>
      <c r="BE46" s="39"/>
      <c r="BF46" s="23">
        <v>70000</v>
      </c>
      <c r="BG46" s="23" t="s">
        <v>198</v>
      </c>
      <c r="BH46" s="23">
        <v>20</v>
      </c>
      <c r="BI46" s="23">
        <v>20</v>
      </c>
      <c r="BJ46" s="23">
        <v>30</v>
      </c>
      <c r="BK46" s="23">
        <v>30</v>
      </c>
      <c r="BL46" s="23" t="s">
        <v>11</v>
      </c>
      <c r="BM46" s="23">
        <v>16</v>
      </c>
      <c r="BN46" s="23"/>
      <c r="BO46" s="24"/>
      <c r="BP46" s="25"/>
      <c r="BQ46" s="23"/>
      <c r="BR46" s="23"/>
      <c r="BS46" s="23"/>
      <c r="BT46" s="37"/>
      <c r="BU46" s="41"/>
      <c r="BV46" s="37"/>
      <c r="BW46" s="127"/>
      <c r="BX46" s="37"/>
      <c r="BY46" s="37"/>
      <c r="BZ46" s="37"/>
      <c r="CA46" s="41"/>
      <c r="GO46" s="23"/>
    </row>
    <row r="47" spans="22:197" ht="18" customHeight="1" hidden="1">
      <c r="V47" s="242">
        <f t="shared" si="26"/>
        <v>0</v>
      </c>
      <c r="W47" s="242">
        <f t="shared" si="27"/>
        <v>0</v>
      </c>
      <c r="X47" s="242">
        <f t="shared" si="28"/>
        <v>0</v>
      </c>
      <c r="Y47" s="242">
        <f t="shared" si="29"/>
        <v>0</v>
      </c>
      <c r="Z47" s="242">
        <f t="shared" si="30"/>
        <v>0</v>
      </c>
      <c r="AA47" s="242">
        <f t="shared" si="31"/>
        <v>0</v>
      </c>
      <c r="AC47" s="241">
        <v>15</v>
      </c>
      <c r="AQ47" s="237">
        <f t="shared" si="32"/>
        <v>16</v>
      </c>
      <c r="AR47" s="237" t="s">
        <v>517</v>
      </c>
      <c r="AS47" s="238" t="s">
        <v>356</v>
      </c>
      <c r="AX47" s="28" t="s">
        <v>404</v>
      </c>
      <c r="AY47" s="20">
        <f t="shared" si="23"/>
        <v>45</v>
      </c>
      <c r="AZ47" s="317" t="s">
        <v>124</v>
      </c>
      <c r="BA47" s="22">
        <v>6</v>
      </c>
      <c r="BB47" s="22">
        <v>3</v>
      </c>
      <c r="BC47" s="22">
        <v>4</v>
      </c>
      <c r="BD47" s="22">
        <v>8</v>
      </c>
      <c r="BE47" s="39" t="s">
        <v>464</v>
      </c>
      <c r="BF47" s="23">
        <v>90000</v>
      </c>
      <c r="BG47" s="23" t="s">
        <v>199</v>
      </c>
      <c r="BH47" s="23">
        <v>20</v>
      </c>
      <c r="BI47" s="23">
        <v>20</v>
      </c>
      <c r="BJ47" s="23">
        <v>20</v>
      </c>
      <c r="BK47" s="23">
        <v>30</v>
      </c>
      <c r="BL47" s="23" t="s">
        <v>11</v>
      </c>
      <c r="BM47" s="23">
        <v>2</v>
      </c>
      <c r="BN47" s="189"/>
      <c r="BP47" s="25"/>
      <c r="BQ47" s="23"/>
      <c r="BR47" s="23"/>
      <c r="BT47" s="37"/>
      <c r="BU47" s="41"/>
      <c r="BV47" s="37"/>
      <c r="BW47" s="127"/>
      <c r="BX47" s="37"/>
      <c r="BY47" s="37"/>
      <c r="BZ47" s="37"/>
      <c r="CA47" s="41"/>
      <c r="GO47" s="189"/>
    </row>
    <row r="48" spans="22:197" ht="18" customHeight="1" hidden="1">
      <c r="V48" s="242">
        <f t="shared" si="26"/>
        <v>0</v>
      </c>
      <c r="W48" s="242">
        <f t="shared" si="27"/>
        <v>0</v>
      </c>
      <c r="X48" s="242">
        <f t="shared" si="28"/>
        <v>0</v>
      </c>
      <c r="Y48" s="242">
        <f t="shared" si="29"/>
        <v>0</v>
      </c>
      <c r="Z48" s="242">
        <f t="shared" si="30"/>
        <v>0</v>
      </c>
      <c r="AA48" s="242">
        <f t="shared" si="31"/>
        <v>0</v>
      </c>
      <c r="AC48" s="241">
        <v>16</v>
      </c>
      <c r="AQ48" s="237">
        <f t="shared" si="32"/>
        <v>17</v>
      </c>
      <c r="AR48" s="237" t="s">
        <v>517</v>
      </c>
      <c r="AS48" s="238" t="s">
        <v>357</v>
      </c>
      <c r="AX48" s="28" t="s">
        <v>405</v>
      </c>
      <c r="AY48" s="20">
        <f t="shared" si="23"/>
        <v>46</v>
      </c>
      <c r="AZ48" s="317" t="s">
        <v>125</v>
      </c>
      <c r="BA48" s="22">
        <v>8</v>
      </c>
      <c r="BB48" s="22">
        <v>3</v>
      </c>
      <c r="BC48" s="22">
        <v>4</v>
      </c>
      <c r="BD48" s="22">
        <v>7</v>
      </c>
      <c r="BE48" s="39" t="s">
        <v>360</v>
      </c>
      <c r="BF48" s="23">
        <v>90000</v>
      </c>
      <c r="BG48" s="23" t="s">
        <v>200</v>
      </c>
      <c r="BH48" s="23">
        <v>20</v>
      </c>
      <c r="BI48" s="23">
        <v>20</v>
      </c>
      <c r="BJ48" s="23">
        <v>30</v>
      </c>
      <c r="BK48" s="23">
        <v>30</v>
      </c>
      <c r="BL48" s="23" t="s">
        <v>11</v>
      </c>
      <c r="BM48" s="23">
        <v>4</v>
      </c>
      <c r="BN48" s="23"/>
      <c r="BT48" s="37"/>
      <c r="BU48" s="41"/>
      <c r="BV48" s="37"/>
      <c r="BW48" s="127"/>
      <c r="BX48" s="37"/>
      <c r="BY48" s="37"/>
      <c r="BZ48" s="37"/>
      <c r="CA48" s="41"/>
      <c r="GO48" s="23"/>
    </row>
    <row r="49" spans="43:197" ht="18" customHeight="1" hidden="1">
      <c r="AQ49" s="237">
        <f t="shared" si="32"/>
        <v>18</v>
      </c>
      <c r="AR49" s="237" t="s">
        <v>517</v>
      </c>
      <c r="AS49" s="238" t="s">
        <v>358</v>
      </c>
      <c r="AX49" s="28" t="s">
        <v>406</v>
      </c>
      <c r="AY49" s="20">
        <f t="shared" si="23"/>
        <v>47</v>
      </c>
      <c r="AZ49" s="317" t="s">
        <v>126</v>
      </c>
      <c r="BA49" s="22">
        <v>7</v>
      </c>
      <c r="BB49" s="22">
        <v>3</v>
      </c>
      <c r="BC49" s="22">
        <v>4</v>
      </c>
      <c r="BD49" s="22">
        <v>8</v>
      </c>
      <c r="BE49" s="39" t="s">
        <v>346</v>
      </c>
      <c r="BF49" s="23">
        <v>100000</v>
      </c>
      <c r="BG49" s="23" t="s">
        <v>201</v>
      </c>
      <c r="BH49" s="23">
        <v>20</v>
      </c>
      <c r="BI49" s="23">
        <v>20</v>
      </c>
      <c r="BJ49" s="23">
        <v>30</v>
      </c>
      <c r="BK49" s="23">
        <v>30</v>
      </c>
      <c r="BL49" s="23" t="s">
        <v>11</v>
      </c>
      <c r="BM49" s="23">
        <v>2</v>
      </c>
      <c r="BN49" s="23"/>
      <c r="BT49" s="37"/>
      <c r="BU49" s="41"/>
      <c r="BV49" s="37"/>
      <c r="BW49" s="127"/>
      <c r="BX49" s="37"/>
      <c r="BY49" s="37"/>
      <c r="BZ49" s="37"/>
      <c r="CA49" s="41"/>
      <c r="GO49" s="23"/>
    </row>
    <row r="50" spans="43:197" ht="18" customHeight="1" hidden="1">
      <c r="AQ50" s="237">
        <f t="shared" si="32"/>
        <v>19</v>
      </c>
      <c r="AR50" s="237" t="s">
        <v>517</v>
      </c>
      <c r="AS50" s="238" t="s">
        <v>359</v>
      </c>
      <c r="AX50" s="28" t="s">
        <v>407</v>
      </c>
      <c r="AY50" s="20">
        <f t="shared" si="23"/>
        <v>48</v>
      </c>
      <c r="AZ50" s="33" t="s">
        <v>258</v>
      </c>
      <c r="BA50" s="38">
        <v>6</v>
      </c>
      <c r="BB50" s="38">
        <v>3</v>
      </c>
      <c r="BC50" s="38">
        <v>4</v>
      </c>
      <c r="BD50" s="38">
        <v>8</v>
      </c>
      <c r="BE50" s="40" t="s">
        <v>251</v>
      </c>
      <c r="BF50" s="37">
        <v>70000</v>
      </c>
      <c r="BG50" s="189" t="s">
        <v>322</v>
      </c>
      <c r="BH50" s="189" t="s">
        <v>11</v>
      </c>
      <c r="BI50" s="189" t="s">
        <v>11</v>
      </c>
      <c r="BJ50" s="189" t="s">
        <v>11</v>
      </c>
      <c r="BK50" s="189" t="s">
        <v>11</v>
      </c>
      <c r="BL50" s="189" t="s">
        <v>11</v>
      </c>
      <c r="BM50" s="189">
        <v>11</v>
      </c>
      <c r="BN50" s="23"/>
      <c r="BT50" s="37"/>
      <c r="BU50" s="41"/>
      <c r="BV50" s="37"/>
      <c r="BW50" s="127"/>
      <c r="BX50" s="37"/>
      <c r="BY50" s="37"/>
      <c r="BZ50" s="37"/>
      <c r="CA50" s="41"/>
      <c r="GO50" s="23"/>
    </row>
    <row r="51" spans="43:197" ht="18" customHeight="1" hidden="1">
      <c r="AQ51" s="237">
        <f t="shared" si="32"/>
        <v>20</v>
      </c>
      <c r="AR51" s="237" t="s">
        <v>452</v>
      </c>
      <c r="AS51" s="238" t="s">
        <v>360</v>
      </c>
      <c r="AX51" s="28" t="s">
        <v>408</v>
      </c>
      <c r="AY51" s="20">
        <f t="shared" si="23"/>
        <v>49</v>
      </c>
      <c r="AZ51" s="317" t="s">
        <v>47</v>
      </c>
      <c r="BA51" s="22">
        <v>6</v>
      </c>
      <c r="BB51" s="22">
        <v>3</v>
      </c>
      <c r="BC51" s="22">
        <v>3</v>
      </c>
      <c r="BD51" s="22">
        <v>8</v>
      </c>
      <c r="BF51" s="37">
        <v>50000</v>
      </c>
      <c r="BG51" s="23" t="s">
        <v>202</v>
      </c>
      <c r="BH51" s="23">
        <v>20</v>
      </c>
      <c r="BI51" s="23">
        <v>30</v>
      </c>
      <c r="BJ51" s="23">
        <v>30</v>
      </c>
      <c r="BK51" s="23">
        <v>30</v>
      </c>
      <c r="BL51" s="23" t="s">
        <v>11</v>
      </c>
      <c r="BM51" s="23">
        <v>16</v>
      </c>
      <c r="BN51" s="23"/>
      <c r="BT51" s="37"/>
      <c r="BU51" s="41"/>
      <c r="BV51" s="37"/>
      <c r="BW51" s="127"/>
      <c r="BX51" s="37"/>
      <c r="BY51" s="37"/>
      <c r="BZ51" s="37"/>
      <c r="CA51" s="41"/>
      <c r="GO51" s="23"/>
    </row>
    <row r="52" spans="43:197" ht="18" customHeight="1" hidden="1">
      <c r="AQ52" s="237">
        <f t="shared" si="32"/>
        <v>21</v>
      </c>
      <c r="AR52" s="237" t="s">
        <v>452</v>
      </c>
      <c r="AS52" s="238" t="s">
        <v>361</v>
      </c>
      <c r="AX52" s="28" t="s">
        <v>409</v>
      </c>
      <c r="AY52" s="20">
        <f t="shared" si="23"/>
        <v>50</v>
      </c>
      <c r="AZ52" s="317" t="s">
        <v>49</v>
      </c>
      <c r="BA52" s="22">
        <v>8</v>
      </c>
      <c r="BB52" s="22">
        <v>2</v>
      </c>
      <c r="BC52" s="22">
        <v>3</v>
      </c>
      <c r="BD52" s="22">
        <v>7</v>
      </c>
      <c r="BE52" s="39" t="s">
        <v>39</v>
      </c>
      <c r="BF52" s="318">
        <v>60000</v>
      </c>
      <c r="BG52" s="23" t="s">
        <v>203</v>
      </c>
      <c r="BH52" s="23">
        <v>20</v>
      </c>
      <c r="BI52" s="23">
        <v>20</v>
      </c>
      <c r="BJ52" s="23">
        <v>30</v>
      </c>
      <c r="BK52" s="23">
        <v>30</v>
      </c>
      <c r="BL52" s="23" t="s">
        <v>11</v>
      </c>
      <c r="BM52" s="23">
        <v>4</v>
      </c>
      <c r="BN52" s="37"/>
      <c r="BT52" s="37"/>
      <c r="BU52" s="41"/>
      <c r="BV52" s="37"/>
      <c r="BW52" s="127"/>
      <c r="BX52" s="37"/>
      <c r="BY52" s="37"/>
      <c r="BZ52" s="37"/>
      <c r="CA52" s="41"/>
      <c r="GO52" s="23"/>
    </row>
    <row r="53" spans="43:197" ht="18" customHeight="1" hidden="1">
      <c r="AQ53" s="237">
        <f t="shared" si="32"/>
        <v>22</v>
      </c>
      <c r="AR53" s="237" t="s">
        <v>452</v>
      </c>
      <c r="AS53" s="238" t="s">
        <v>362</v>
      </c>
      <c r="AX53" s="28" t="s">
        <v>410</v>
      </c>
      <c r="AY53" s="20">
        <f t="shared" si="23"/>
        <v>51</v>
      </c>
      <c r="AZ53" s="317" t="s">
        <v>48</v>
      </c>
      <c r="BA53" s="22">
        <v>6</v>
      </c>
      <c r="BB53" s="22">
        <v>3</v>
      </c>
      <c r="BC53" s="22">
        <v>3</v>
      </c>
      <c r="BD53" s="22">
        <v>8</v>
      </c>
      <c r="BE53" s="39" t="s">
        <v>465</v>
      </c>
      <c r="BF53" s="37">
        <v>70000</v>
      </c>
      <c r="BG53" s="23" t="s">
        <v>204</v>
      </c>
      <c r="BH53" s="23">
        <v>20</v>
      </c>
      <c r="BI53" s="23">
        <v>30</v>
      </c>
      <c r="BJ53" s="23">
        <v>20</v>
      </c>
      <c r="BK53" s="23">
        <v>30</v>
      </c>
      <c r="BL53" s="23" t="s">
        <v>11</v>
      </c>
      <c r="BM53" s="23">
        <v>2</v>
      </c>
      <c r="BN53" s="189"/>
      <c r="BT53" s="37"/>
      <c r="BU53" s="41"/>
      <c r="BV53" s="37"/>
      <c r="BW53" s="127"/>
      <c r="BX53" s="37"/>
      <c r="BY53" s="37"/>
      <c r="BZ53" s="37"/>
      <c r="CA53" s="41"/>
      <c r="GO53" s="189"/>
    </row>
    <row r="54" spans="43:197" ht="18" customHeight="1" hidden="1">
      <c r="AQ54" s="237">
        <f t="shared" si="32"/>
        <v>23</v>
      </c>
      <c r="AR54" s="237" t="s">
        <v>452</v>
      </c>
      <c r="AS54" s="238" t="s">
        <v>363</v>
      </c>
      <c r="AX54" s="28" t="s">
        <v>411</v>
      </c>
      <c r="AY54" s="20">
        <f t="shared" si="23"/>
        <v>52</v>
      </c>
      <c r="AZ54" s="317" t="s">
        <v>50</v>
      </c>
      <c r="BA54" s="38">
        <v>7</v>
      </c>
      <c r="BB54" s="38">
        <v>3</v>
      </c>
      <c r="BC54" s="38">
        <v>3</v>
      </c>
      <c r="BD54" s="38">
        <v>8</v>
      </c>
      <c r="BE54" s="39" t="s">
        <v>51</v>
      </c>
      <c r="BF54" s="37">
        <v>90000</v>
      </c>
      <c r="BG54" s="23" t="s">
        <v>205</v>
      </c>
      <c r="BH54" s="23">
        <v>20</v>
      </c>
      <c r="BI54" s="23">
        <v>30</v>
      </c>
      <c r="BJ54" s="23">
        <v>30</v>
      </c>
      <c r="BK54" s="23">
        <v>20</v>
      </c>
      <c r="BL54" s="23" t="s">
        <v>11</v>
      </c>
      <c r="BM54" s="23">
        <v>4</v>
      </c>
      <c r="BN54" s="37"/>
      <c r="BT54" s="37"/>
      <c r="BU54" s="41"/>
      <c r="BV54" s="37"/>
      <c r="BW54" s="127"/>
      <c r="BX54" s="37"/>
      <c r="BY54" s="37"/>
      <c r="BZ54" s="37"/>
      <c r="CA54" s="41"/>
      <c r="GO54" s="37"/>
    </row>
    <row r="55" spans="43:197" ht="18" customHeight="1" hidden="1">
      <c r="AQ55" s="237">
        <f t="shared" si="32"/>
        <v>24</v>
      </c>
      <c r="AR55" s="237" t="s">
        <v>452</v>
      </c>
      <c r="AS55" s="238" t="s">
        <v>364</v>
      </c>
      <c r="AX55" s="28" t="s">
        <v>412</v>
      </c>
      <c r="AY55" s="20">
        <f t="shared" si="23"/>
        <v>53</v>
      </c>
      <c r="AZ55" s="315" t="s">
        <v>71</v>
      </c>
      <c r="BA55" s="38">
        <v>5</v>
      </c>
      <c r="BB55" s="38">
        <v>5</v>
      </c>
      <c r="BC55" s="38">
        <v>2</v>
      </c>
      <c r="BD55" s="38">
        <v>9</v>
      </c>
      <c r="BE55" s="40" t="s">
        <v>462</v>
      </c>
      <c r="BF55" s="37">
        <v>140000</v>
      </c>
      <c r="BG55" s="189" t="s">
        <v>323</v>
      </c>
      <c r="BH55" s="189">
        <v>30</v>
      </c>
      <c r="BI55" s="189">
        <v>30</v>
      </c>
      <c r="BJ55" s="189">
        <v>30</v>
      </c>
      <c r="BK55" s="189">
        <v>20</v>
      </c>
      <c r="BL55" s="189" t="s">
        <v>11</v>
      </c>
      <c r="BM55" s="37">
        <v>1</v>
      </c>
      <c r="BN55" s="37"/>
      <c r="BT55" s="37"/>
      <c r="BU55" s="41"/>
      <c r="BV55" s="37"/>
      <c r="BW55" s="127"/>
      <c r="BX55" s="37"/>
      <c r="BY55" s="37"/>
      <c r="BZ55" s="37"/>
      <c r="CA55" s="41"/>
      <c r="GO55" s="37"/>
    </row>
    <row r="56" spans="43:197" ht="18" customHeight="1" hidden="1">
      <c r="AQ56" s="237">
        <f t="shared" si="32"/>
        <v>25</v>
      </c>
      <c r="AR56" s="237" t="s">
        <v>452</v>
      </c>
      <c r="AS56" s="238" t="s">
        <v>365</v>
      </c>
      <c r="AX56" s="28" t="s">
        <v>413</v>
      </c>
      <c r="AY56" s="20">
        <f t="shared" si="23"/>
        <v>54</v>
      </c>
      <c r="AZ56" s="33" t="s">
        <v>259</v>
      </c>
      <c r="BA56" s="38">
        <v>6</v>
      </c>
      <c r="BB56" s="38">
        <v>3</v>
      </c>
      <c r="BC56" s="38">
        <v>3</v>
      </c>
      <c r="BD56" s="38">
        <v>8</v>
      </c>
      <c r="BE56" s="40" t="s">
        <v>251</v>
      </c>
      <c r="BF56" s="37">
        <v>50000</v>
      </c>
      <c r="BG56" s="189" t="s">
        <v>431</v>
      </c>
      <c r="BH56" s="189" t="s">
        <v>11</v>
      </c>
      <c r="BI56" s="189" t="s">
        <v>11</v>
      </c>
      <c r="BJ56" s="189" t="s">
        <v>11</v>
      </c>
      <c r="BK56" s="189" t="s">
        <v>11</v>
      </c>
      <c r="BL56" s="189" t="s">
        <v>11</v>
      </c>
      <c r="BM56" s="189">
        <v>11</v>
      </c>
      <c r="BN56" s="37"/>
      <c r="BT56" s="37"/>
      <c r="BU56" s="41"/>
      <c r="BV56" s="37"/>
      <c r="BW56" s="127"/>
      <c r="BX56" s="37"/>
      <c r="BY56" s="37"/>
      <c r="BZ56" s="37"/>
      <c r="CA56" s="41"/>
      <c r="GO56" s="37"/>
    </row>
    <row r="57" spans="43:197" ht="18" customHeight="1" hidden="1">
      <c r="AQ57" s="237">
        <f t="shared" si="32"/>
        <v>26</v>
      </c>
      <c r="AR57" s="237" t="s">
        <v>452</v>
      </c>
      <c r="AS57" s="238" t="s">
        <v>366</v>
      </c>
      <c r="AX57" s="28" t="s">
        <v>414</v>
      </c>
      <c r="AY57" s="20">
        <f t="shared" si="23"/>
        <v>55</v>
      </c>
      <c r="AZ57" s="315" t="s">
        <v>758</v>
      </c>
      <c r="BA57" s="38">
        <v>5</v>
      </c>
      <c r="BB57" s="38">
        <v>3</v>
      </c>
      <c r="BC57" s="38">
        <v>2</v>
      </c>
      <c r="BD57" s="38">
        <v>7</v>
      </c>
      <c r="BE57" s="40" t="s">
        <v>456</v>
      </c>
      <c r="BF57" s="37">
        <v>40000</v>
      </c>
      <c r="BG57" s="37" t="s">
        <v>206</v>
      </c>
      <c r="BH57" s="37">
        <v>20</v>
      </c>
      <c r="BI57" s="37">
        <v>30</v>
      </c>
      <c r="BJ57" s="37">
        <v>30</v>
      </c>
      <c r="BK57" s="37">
        <v>30</v>
      </c>
      <c r="BL57" s="37" t="s">
        <v>11</v>
      </c>
      <c r="BM57" s="37">
        <v>16</v>
      </c>
      <c r="BN57" s="37"/>
      <c r="BT57" s="37"/>
      <c r="BU57" s="41"/>
      <c r="BV57" s="37"/>
      <c r="BW57" s="127"/>
      <c r="BX57" s="37"/>
      <c r="BY57" s="37"/>
      <c r="BZ57" s="37"/>
      <c r="CA57" s="41"/>
      <c r="GO57" s="37"/>
    </row>
    <row r="58" spans="43:197" ht="18" customHeight="1" hidden="1">
      <c r="AQ58" s="237">
        <f t="shared" si="32"/>
        <v>27</v>
      </c>
      <c r="AR58" s="237" t="s">
        <v>452</v>
      </c>
      <c r="AS58" s="238" t="s">
        <v>367</v>
      </c>
      <c r="AX58" s="28" t="s">
        <v>415</v>
      </c>
      <c r="AY58" s="20">
        <f t="shared" si="23"/>
        <v>56</v>
      </c>
      <c r="AZ58" s="315" t="s">
        <v>759</v>
      </c>
      <c r="BA58" s="38">
        <v>6</v>
      </c>
      <c r="BB58" s="38">
        <v>3</v>
      </c>
      <c r="BC58" s="38">
        <v>2</v>
      </c>
      <c r="BD58" s="38">
        <v>7</v>
      </c>
      <c r="BE58" s="40" t="s">
        <v>458</v>
      </c>
      <c r="BF58" s="37">
        <v>70000</v>
      </c>
      <c r="BG58" s="37" t="s">
        <v>207</v>
      </c>
      <c r="BH58" s="37">
        <v>20</v>
      </c>
      <c r="BI58" s="37">
        <v>30</v>
      </c>
      <c r="BJ58" s="37">
        <v>20</v>
      </c>
      <c r="BK58" s="37">
        <v>30</v>
      </c>
      <c r="BL58" s="37" t="s">
        <v>11</v>
      </c>
      <c r="BM58" s="37">
        <v>2</v>
      </c>
      <c r="BN58" s="189"/>
      <c r="BT58" s="37"/>
      <c r="BU58" s="41"/>
      <c r="BV58" s="37"/>
      <c r="BW58" s="127"/>
      <c r="BX58" s="37"/>
      <c r="BY58" s="37"/>
      <c r="BZ58" s="37"/>
      <c r="CA58" s="41"/>
      <c r="GO58" s="189"/>
    </row>
    <row r="59" spans="43:197" ht="18" customHeight="1" hidden="1">
      <c r="AQ59" s="237">
        <f t="shared" si="32"/>
        <v>28</v>
      </c>
      <c r="AR59" s="237" t="s">
        <v>452</v>
      </c>
      <c r="AS59" s="238" t="s">
        <v>368</v>
      </c>
      <c r="AX59" s="28" t="s">
        <v>416</v>
      </c>
      <c r="AY59" s="20">
        <f t="shared" si="23"/>
        <v>57</v>
      </c>
      <c r="AZ59" s="315" t="s">
        <v>760</v>
      </c>
      <c r="BA59" s="38">
        <v>6</v>
      </c>
      <c r="BB59" s="38">
        <v>3</v>
      </c>
      <c r="BC59" s="38">
        <v>2</v>
      </c>
      <c r="BD59" s="38">
        <v>8</v>
      </c>
      <c r="BE59" s="40" t="s">
        <v>466</v>
      </c>
      <c r="BF59" s="37">
        <v>90000</v>
      </c>
      <c r="BG59" s="37" t="s">
        <v>208</v>
      </c>
      <c r="BH59" s="37">
        <v>20</v>
      </c>
      <c r="BI59" s="37">
        <v>30</v>
      </c>
      <c r="BJ59" s="37">
        <v>30</v>
      </c>
      <c r="BK59" s="37">
        <v>20</v>
      </c>
      <c r="BL59" s="37" t="s">
        <v>11</v>
      </c>
      <c r="BM59" s="37">
        <v>2</v>
      </c>
      <c r="BN59" s="189"/>
      <c r="BT59" s="37"/>
      <c r="BU59" s="41"/>
      <c r="BV59" s="37"/>
      <c r="BW59" s="127"/>
      <c r="BX59" s="37"/>
      <c r="BY59" s="37"/>
      <c r="BZ59" s="37"/>
      <c r="CA59" s="41"/>
      <c r="GO59" s="23"/>
    </row>
    <row r="60" spans="43:197" ht="18" customHeight="1" hidden="1">
      <c r="AQ60" s="237">
        <f t="shared" si="32"/>
        <v>29</v>
      </c>
      <c r="AR60" s="237" t="s">
        <v>452</v>
      </c>
      <c r="AS60" s="238" t="s">
        <v>369</v>
      </c>
      <c r="AX60" s="326" t="s">
        <v>802</v>
      </c>
      <c r="AY60" s="20">
        <f t="shared" si="23"/>
        <v>58</v>
      </c>
      <c r="AZ60" s="315" t="s">
        <v>457</v>
      </c>
      <c r="BA60" s="38">
        <v>4</v>
      </c>
      <c r="BB60" s="38">
        <v>5</v>
      </c>
      <c r="BC60" s="38">
        <v>1</v>
      </c>
      <c r="BD60" s="38">
        <v>9</v>
      </c>
      <c r="BE60" s="40" t="s">
        <v>589</v>
      </c>
      <c r="BF60" s="37">
        <v>100000</v>
      </c>
      <c r="BG60" s="37" t="s">
        <v>209</v>
      </c>
      <c r="BH60" s="37">
        <v>30</v>
      </c>
      <c r="BI60" s="37">
        <v>30</v>
      </c>
      <c r="BJ60" s="37">
        <v>30</v>
      </c>
      <c r="BK60" s="37">
        <v>20</v>
      </c>
      <c r="BL60" s="37" t="s">
        <v>11</v>
      </c>
      <c r="BM60" s="37">
        <v>4</v>
      </c>
      <c r="BN60" s="37"/>
      <c r="BT60" s="37"/>
      <c r="BU60" s="41"/>
      <c r="BV60" s="37"/>
      <c r="BW60" s="127"/>
      <c r="BX60" s="37"/>
      <c r="BY60" s="37"/>
      <c r="BZ60" s="37"/>
      <c r="CA60" s="41"/>
      <c r="GO60" s="23"/>
    </row>
    <row r="61" spans="43:197" ht="18" customHeight="1" hidden="1">
      <c r="AQ61" s="237">
        <f t="shared" si="32"/>
        <v>30</v>
      </c>
      <c r="AR61" s="237" t="s">
        <v>453</v>
      </c>
      <c r="AS61" s="238" t="s">
        <v>370</v>
      </c>
      <c r="AX61" s="326" t="s">
        <v>795</v>
      </c>
      <c r="AY61" s="20">
        <f t="shared" si="23"/>
        <v>59</v>
      </c>
      <c r="AZ61" s="33" t="s">
        <v>444</v>
      </c>
      <c r="BA61" s="38">
        <v>5</v>
      </c>
      <c r="BB61" s="38">
        <v>3</v>
      </c>
      <c r="BC61" s="38">
        <v>2</v>
      </c>
      <c r="BD61" s="38">
        <v>7</v>
      </c>
      <c r="BE61" s="40" t="s">
        <v>585</v>
      </c>
      <c r="BF61" s="37">
        <v>40000</v>
      </c>
      <c r="BG61" s="189" t="s">
        <v>324</v>
      </c>
      <c r="BH61" s="189" t="s">
        <v>11</v>
      </c>
      <c r="BI61" s="189" t="s">
        <v>11</v>
      </c>
      <c r="BJ61" s="189" t="s">
        <v>11</v>
      </c>
      <c r="BK61" s="189" t="s">
        <v>11</v>
      </c>
      <c r="BL61" s="189" t="s">
        <v>11</v>
      </c>
      <c r="BM61" s="189">
        <v>11</v>
      </c>
      <c r="BN61" s="37"/>
      <c r="BT61" s="37"/>
      <c r="BU61" s="41"/>
      <c r="BV61" s="37"/>
      <c r="BW61" s="127"/>
      <c r="BX61" s="37"/>
      <c r="BY61" s="37"/>
      <c r="BZ61" s="37"/>
      <c r="CA61" s="41"/>
      <c r="GO61" s="23"/>
    </row>
    <row r="62" spans="43:197" ht="18" customHeight="1" hidden="1">
      <c r="AQ62" s="237">
        <f t="shared" si="32"/>
        <v>31</v>
      </c>
      <c r="AR62" s="237" t="s">
        <v>453</v>
      </c>
      <c r="AS62" s="238" t="s">
        <v>371</v>
      </c>
      <c r="AX62" s="326" t="s">
        <v>797</v>
      </c>
      <c r="AY62" s="20">
        <f t="shared" si="23"/>
        <v>60</v>
      </c>
      <c r="AZ62" s="315" t="s">
        <v>761</v>
      </c>
      <c r="BA62" s="38">
        <v>8</v>
      </c>
      <c r="BB62" s="38">
        <v>2</v>
      </c>
      <c r="BC62" s="38">
        <v>3</v>
      </c>
      <c r="BD62" s="38">
        <v>7</v>
      </c>
      <c r="BE62" s="40" t="s">
        <v>467</v>
      </c>
      <c r="BF62" s="37">
        <v>60000</v>
      </c>
      <c r="BG62" s="37" t="s">
        <v>419</v>
      </c>
      <c r="BH62" s="37">
        <v>30</v>
      </c>
      <c r="BI62" s="37">
        <v>20</v>
      </c>
      <c r="BJ62" s="37">
        <v>30</v>
      </c>
      <c r="BK62" s="37">
        <v>30</v>
      </c>
      <c r="BL62" s="37" t="s">
        <v>11</v>
      </c>
      <c r="BM62" s="189">
        <v>16</v>
      </c>
      <c r="BN62" s="37"/>
      <c r="BT62" s="37"/>
      <c r="BU62" s="41"/>
      <c r="BV62" s="37"/>
      <c r="BW62" s="127"/>
      <c r="BX62" s="37"/>
      <c r="BY62" s="37"/>
      <c r="BZ62" s="37"/>
      <c r="CA62" s="41"/>
      <c r="GO62" s="189"/>
    </row>
    <row r="63" spans="43:197" ht="18" customHeight="1" hidden="1">
      <c r="AQ63" s="237">
        <f t="shared" si="32"/>
        <v>32</v>
      </c>
      <c r="AR63" s="237" t="s">
        <v>453</v>
      </c>
      <c r="AS63" s="238" t="s">
        <v>372</v>
      </c>
      <c r="AX63" s="326" t="s">
        <v>835</v>
      </c>
      <c r="AY63" s="20">
        <f t="shared" si="23"/>
        <v>61</v>
      </c>
      <c r="AZ63" s="315" t="s">
        <v>762</v>
      </c>
      <c r="BA63" s="38">
        <v>6</v>
      </c>
      <c r="BB63" s="38">
        <v>4</v>
      </c>
      <c r="BC63" s="38">
        <v>1</v>
      </c>
      <c r="BD63" s="38">
        <v>9</v>
      </c>
      <c r="BF63" s="37">
        <v>80000</v>
      </c>
      <c r="BG63" s="37" t="s">
        <v>420</v>
      </c>
      <c r="BH63" s="37">
        <v>20</v>
      </c>
      <c r="BI63" s="37">
        <v>30</v>
      </c>
      <c r="BJ63" s="37">
        <v>30</v>
      </c>
      <c r="BK63" s="37">
        <v>20</v>
      </c>
      <c r="BL63" s="37" t="s">
        <v>11</v>
      </c>
      <c r="BM63" s="37">
        <v>6</v>
      </c>
      <c r="BN63" s="37"/>
      <c r="BT63" s="37"/>
      <c r="BU63" s="41"/>
      <c r="BV63" s="37"/>
      <c r="BW63" s="127"/>
      <c r="BX63" s="37"/>
      <c r="BY63" s="37"/>
      <c r="BZ63" s="37"/>
      <c r="CA63" s="41"/>
      <c r="GO63" s="37"/>
    </row>
    <row r="64" spans="43:197" ht="18" customHeight="1" hidden="1">
      <c r="AQ64" s="237">
        <f t="shared" si="32"/>
        <v>33</v>
      </c>
      <c r="AR64" s="237" t="s">
        <v>453</v>
      </c>
      <c r="AS64" s="238" t="s">
        <v>373</v>
      </c>
      <c r="AX64" s="326" t="s">
        <v>900</v>
      </c>
      <c r="AY64" s="20">
        <f t="shared" si="23"/>
        <v>62</v>
      </c>
      <c r="AZ64" s="315" t="s">
        <v>73</v>
      </c>
      <c r="BA64" s="38">
        <v>6</v>
      </c>
      <c r="BB64" s="38">
        <v>5</v>
      </c>
      <c r="BC64" s="38">
        <v>1</v>
      </c>
      <c r="BD64" s="38">
        <v>9</v>
      </c>
      <c r="BE64" s="40" t="s">
        <v>459</v>
      </c>
      <c r="BF64" s="37">
        <v>140000</v>
      </c>
      <c r="BG64" s="189" t="s">
        <v>325</v>
      </c>
      <c r="BH64" s="189">
        <v>30</v>
      </c>
      <c r="BI64" s="189">
        <v>30</v>
      </c>
      <c r="BJ64" s="189">
        <v>30</v>
      </c>
      <c r="BK64" s="189">
        <v>20</v>
      </c>
      <c r="BL64" s="189" t="s">
        <v>11</v>
      </c>
      <c r="BM64" s="37">
        <v>1</v>
      </c>
      <c r="BN64" s="37"/>
      <c r="BT64" s="37"/>
      <c r="BU64" s="41"/>
      <c r="BV64" s="37"/>
      <c r="BW64" s="127"/>
      <c r="BX64" s="37"/>
      <c r="BY64" s="37"/>
      <c r="BZ64" s="37"/>
      <c r="CA64" s="41"/>
      <c r="GO64" s="37"/>
    </row>
    <row r="65" spans="43:197" ht="18" customHeight="1" hidden="1">
      <c r="AQ65" s="237">
        <f t="shared" si="32"/>
        <v>34</v>
      </c>
      <c r="AR65" s="237" t="s">
        <v>453</v>
      </c>
      <c r="AS65" s="238" t="s">
        <v>374</v>
      </c>
      <c r="AX65" s="326"/>
      <c r="AY65" s="20">
        <f t="shared" si="23"/>
        <v>63</v>
      </c>
      <c r="AZ65" s="33" t="s">
        <v>421</v>
      </c>
      <c r="BA65" s="38">
        <v>8</v>
      </c>
      <c r="BB65" s="38">
        <v>2</v>
      </c>
      <c r="BC65" s="38">
        <v>3</v>
      </c>
      <c r="BD65" s="38">
        <v>7</v>
      </c>
      <c r="BE65" s="40" t="s">
        <v>261</v>
      </c>
      <c r="BF65" s="37">
        <v>60000</v>
      </c>
      <c r="BG65" s="189" t="s">
        <v>428</v>
      </c>
      <c r="BH65" s="189" t="s">
        <v>11</v>
      </c>
      <c r="BI65" s="189" t="s">
        <v>11</v>
      </c>
      <c r="BJ65" s="189" t="s">
        <v>11</v>
      </c>
      <c r="BK65" s="189" t="s">
        <v>11</v>
      </c>
      <c r="BL65" s="189" t="s">
        <v>11</v>
      </c>
      <c r="BM65" s="37">
        <v>11</v>
      </c>
      <c r="BN65" s="37"/>
      <c r="BT65" s="37"/>
      <c r="BU65" s="41"/>
      <c r="BV65" s="37"/>
      <c r="BW65" s="127"/>
      <c r="BX65" s="37"/>
      <c r="BY65" s="37"/>
      <c r="BZ65" s="37"/>
      <c r="CA65" s="41"/>
      <c r="GO65" s="37"/>
    </row>
    <row r="66" spans="43:197" ht="18" customHeight="1" hidden="1">
      <c r="AQ66" s="237">
        <f t="shared" si="32"/>
        <v>35</v>
      </c>
      <c r="AR66" s="237" t="s">
        <v>453</v>
      </c>
      <c r="AS66" s="238" t="s">
        <v>79</v>
      </c>
      <c r="AX66" s="326"/>
      <c r="AY66" s="20">
        <f t="shared" si="23"/>
        <v>64</v>
      </c>
      <c r="AZ66" s="315" t="s">
        <v>766</v>
      </c>
      <c r="BA66" s="38">
        <v>4</v>
      </c>
      <c r="BB66" s="38">
        <v>3</v>
      </c>
      <c r="BC66" s="38">
        <v>2</v>
      </c>
      <c r="BD66" s="38">
        <v>8</v>
      </c>
      <c r="BE66" s="40" t="s">
        <v>407</v>
      </c>
      <c r="BF66" s="37">
        <v>40000</v>
      </c>
      <c r="BG66" s="37" t="s">
        <v>233</v>
      </c>
      <c r="BH66" s="37">
        <v>20</v>
      </c>
      <c r="BI66" s="37">
        <v>30</v>
      </c>
      <c r="BJ66" s="37">
        <v>30</v>
      </c>
      <c r="BK66" s="37">
        <v>30</v>
      </c>
      <c r="BL66" s="37" t="s">
        <v>11</v>
      </c>
      <c r="BM66" s="37">
        <v>16</v>
      </c>
      <c r="BN66" s="37"/>
      <c r="BT66" s="37"/>
      <c r="BU66" s="41"/>
      <c r="BV66" s="37"/>
      <c r="BW66" s="127"/>
      <c r="BX66" s="37"/>
      <c r="BY66" s="37"/>
      <c r="BZ66" s="37"/>
      <c r="CA66" s="41"/>
      <c r="GO66" s="37"/>
    </row>
    <row r="67" spans="43:197" ht="18" customHeight="1" hidden="1">
      <c r="AQ67" s="237">
        <f t="shared" si="32"/>
        <v>36</v>
      </c>
      <c r="AR67" s="237" t="s">
        <v>453</v>
      </c>
      <c r="AS67" s="238" t="s">
        <v>375</v>
      </c>
      <c r="AY67" s="20">
        <f t="shared" si="23"/>
        <v>65</v>
      </c>
      <c r="AZ67" s="315" t="s">
        <v>845</v>
      </c>
      <c r="BA67" s="38">
        <v>7</v>
      </c>
      <c r="BB67" s="38">
        <v>3</v>
      </c>
      <c r="BC67" s="38">
        <v>3</v>
      </c>
      <c r="BD67" s="38">
        <v>7</v>
      </c>
      <c r="BE67" s="40" t="s">
        <v>363</v>
      </c>
      <c r="BF67" s="37">
        <v>70000</v>
      </c>
      <c r="BG67" s="37" t="s">
        <v>234</v>
      </c>
      <c r="BH67" s="37">
        <v>20</v>
      </c>
      <c r="BI67" s="37">
        <v>20</v>
      </c>
      <c r="BJ67" s="37">
        <v>30</v>
      </c>
      <c r="BK67" s="37">
        <v>30</v>
      </c>
      <c r="BL67" s="37" t="s">
        <v>11</v>
      </c>
      <c r="BM67" s="37">
        <v>2</v>
      </c>
      <c r="BN67" s="37"/>
      <c r="BT67" s="37"/>
      <c r="BU67" s="41"/>
      <c r="BV67" s="37"/>
      <c r="BW67" s="127"/>
      <c r="BX67" s="37"/>
      <c r="BY67" s="37"/>
      <c r="BZ67" s="37"/>
      <c r="CA67" s="41"/>
      <c r="GO67" s="37"/>
    </row>
    <row r="68" spans="43:197" ht="18" customHeight="1" hidden="1">
      <c r="AQ68" s="237">
        <f t="shared" si="32"/>
        <v>37</v>
      </c>
      <c r="AR68" s="237" t="s">
        <v>454</v>
      </c>
      <c r="AS68" s="238" t="s">
        <v>384</v>
      </c>
      <c r="AY68" s="20">
        <f aca="true" t="shared" si="33" ref="AY68:AY131">IF(AZ68="","",AY67+1)</f>
        <v>66</v>
      </c>
      <c r="AZ68" s="315" t="s">
        <v>767</v>
      </c>
      <c r="BA68" s="38">
        <v>6</v>
      </c>
      <c r="BB68" s="38">
        <v>3</v>
      </c>
      <c r="BC68" s="38">
        <v>3</v>
      </c>
      <c r="BD68" s="38">
        <v>8</v>
      </c>
      <c r="BE68" s="40" t="s">
        <v>461</v>
      </c>
      <c r="BF68" s="37">
        <v>90000</v>
      </c>
      <c r="BG68" s="37" t="s">
        <v>235</v>
      </c>
      <c r="BH68" s="37">
        <v>20</v>
      </c>
      <c r="BI68" s="37">
        <v>30</v>
      </c>
      <c r="BJ68" s="37">
        <v>30</v>
      </c>
      <c r="BK68" s="37">
        <v>20</v>
      </c>
      <c r="BL68" s="37" t="s">
        <v>11</v>
      </c>
      <c r="BM68" s="37">
        <v>2</v>
      </c>
      <c r="BN68" s="189"/>
      <c r="BT68" s="37"/>
      <c r="BU68" s="41"/>
      <c r="BV68" s="37"/>
      <c r="BW68" s="127"/>
      <c r="BX68" s="37"/>
      <c r="BY68" s="37"/>
      <c r="BZ68" s="37"/>
      <c r="CA68" s="41"/>
      <c r="GO68" s="189"/>
    </row>
    <row r="69" spans="43:197" ht="18" customHeight="1" hidden="1">
      <c r="AQ69" s="237">
        <f t="shared" si="32"/>
        <v>38</v>
      </c>
      <c r="AR69" s="237" t="s">
        <v>454</v>
      </c>
      <c r="AS69" s="238" t="s">
        <v>385</v>
      </c>
      <c r="AY69" s="20">
        <f t="shared" si="33"/>
        <v>67</v>
      </c>
      <c r="AZ69" s="315" t="s">
        <v>80</v>
      </c>
      <c r="BA69" s="38">
        <v>4</v>
      </c>
      <c r="BB69" s="38">
        <v>4</v>
      </c>
      <c r="BC69" s="38">
        <v>2</v>
      </c>
      <c r="BD69" s="38">
        <v>9</v>
      </c>
      <c r="BE69" s="40" t="s">
        <v>460</v>
      </c>
      <c r="BF69" s="37">
        <v>110000</v>
      </c>
      <c r="BG69" s="37" t="s">
        <v>236</v>
      </c>
      <c r="BH69" s="37">
        <v>20</v>
      </c>
      <c r="BI69" s="37">
        <v>30</v>
      </c>
      <c r="BJ69" s="37">
        <v>30</v>
      </c>
      <c r="BK69" s="37">
        <v>20</v>
      </c>
      <c r="BL69" s="37" t="s">
        <v>11</v>
      </c>
      <c r="BM69" s="37">
        <v>2</v>
      </c>
      <c r="BN69" s="37"/>
      <c r="BT69" s="37"/>
      <c r="BU69" s="41"/>
      <c r="BV69" s="37"/>
      <c r="BW69" s="127"/>
      <c r="BX69" s="37"/>
      <c r="BY69" s="37"/>
      <c r="BZ69" s="37"/>
      <c r="CA69" s="41"/>
      <c r="GO69" s="37"/>
    </row>
    <row r="70" spans="43:197" ht="18" customHeight="1" hidden="1">
      <c r="AQ70" s="237">
        <f t="shared" si="32"/>
        <v>39</v>
      </c>
      <c r="AR70" s="237" t="s">
        <v>454</v>
      </c>
      <c r="AS70" s="238" t="s">
        <v>376</v>
      </c>
      <c r="AY70" s="20">
        <f t="shared" si="33"/>
        <v>68</v>
      </c>
      <c r="AZ70" s="315" t="s">
        <v>768</v>
      </c>
      <c r="BA70" s="38">
        <v>8</v>
      </c>
      <c r="BB70" s="38">
        <v>3</v>
      </c>
      <c r="BC70" s="38">
        <v>3</v>
      </c>
      <c r="BD70" s="38">
        <v>8</v>
      </c>
      <c r="BE70" s="40" t="s">
        <v>446</v>
      </c>
      <c r="BF70" s="37">
        <v>120000</v>
      </c>
      <c r="BG70" s="37" t="s">
        <v>237</v>
      </c>
      <c r="BH70" s="37">
        <v>20</v>
      </c>
      <c r="BI70" s="37">
        <v>20</v>
      </c>
      <c r="BJ70" s="37">
        <v>30</v>
      </c>
      <c r="BK70" s="37">
        <v>30</v>
      </c>
      <c r="BL70" s="37" t="s">
        <v>11</v>
      </c>
      <c r="BM70" s="37">
        <v>2</v>
      </c>
      <c r="BN70" s="37"/>
      <c r="BT70" s="37"/>
      <c r="BU70" s="41"/>
      <c r="BV70" s="37"/>
      <c r="BW70" s="127"/>
      <c r="BX70" s="37"/>
      <c r="BY70" s="37"/>
      <c r="BZ70" s="37"/>
      <c r="CA70" s="41"/>
      <c r="GO70" s="37"/>
    </row>
    <row r="71" spans="43:197" ht="18" customHeight="1" hidden="1">
      <c r="AQ71" s="237">
        <f t="shared" si="32"/>
        <v>40</v>
      </c>
      <c r="AR71" s="237" t="s">
        <v>454</v>
      </c>
      <c r="AS71" s="238" t="s">
        <v>377</v>
      </c>
      <c r="AY71" s="20">
        <f t="shared" si="33"/>
        <v>69</v>
      </c>
      <c r="AZ71" s="315" t="s">
        <v>770</v>
      </c>
      <c r="BA71" s="38">
        <v>4</v>
      </c>
      <c r="BB71" s="38">
        <v>3</v>
      </c>
      <c r="BC71" s="38">
        <v>2</v>
      </c>
      <c r="BD71" s="38">
        <v>8</v>
      </c>
      <c r="BE71" s="40" t="s">
        <v>260</v>
      </c>
      <c r="BF71" s="37">
        <v>40000</v>
      </c>
      <c r="BG71" s="189" t="s">
        <v>326</v>
      </c>
      <c r="BH71" s="189" t="s">
        <v>11</v>
      </c>
      <c r="BI71" s="189" t="s">
        <v>11</v>
      </c>
      <c r="BJ71" s="189" t="s">
        <v>11</v>
      </c>
      <c r="BK71" s="189" t="s">
        <v>11</v>
      </c>
      <c r="BL71" s="189" t="s">
        <v>11</v>
      </c>
      <c r="BM71" s="189">
        <v>11</v>
      </c>
      <c r="BN71" s="37"/>
      <c r="BT71" s="37"/>
      <c r="BU71" s="41"/>
      <c r="BV71" s="37"/>
      <c r="BW71" s="127"/>
      <c r="BX71" s="37"/>
      <c r="BY71" s="37"/>
      <c r="BZ71" s="37"/>
      <c r="CA71" s="41"/>
      <c r="GO71" s="37"/>
    </row>
    <row r="72" spans="43:197" ht="18" customHeight="1" hidden="1">
      <c r="AQ72" s="237">
        <f t="shared" si="32"/>
        <v>41</v>
      </c>
      <c r="AR72" s="237" t="s">
        <v>454</v>
      </c>
      <c r="AS72" s="238" t="s">
        <v>378</v>
      </c>
      <c r="AY72" s="20">
        <f t="shared" si="33"/>
        <v>70</v>
      </c>
      <c r="AZ72" s="315" t="s">
        <v>56</v>
      </c>
      <c r="BA72" s="38">
        <v>6</v>
      </c>
      <c r="BB72" s="38">
        <v>3</v>
      </c>
      <c r="BC72" s="38">
        <v>3</v>
      </c>
      <c r="BD72" s="38">
        <v>7</v>
      </c>
      <c r="BE72" s="40" t="s">
        <v>21</v>
      </c>
      <c r="BF72" s="37">
        <v>50000</v>
      </c>
      <c r="BG72" s="37" t="s">
        <v>210</v>
      </c>
      <c r="BH72" s="37">
        <v>20</v>
      </c>
      <c r="BI72" s="37">
        <v>30</v>
      </c>
      <c r="BJ72" s="37">
        <v>30</v>
      </c>
      <c r="BK72" s="37">
        <v>30</v>
      </c>
      <c r="BL72" s="37" t="s">
        <v>11</v>
      </c>
      <c r="BM72" s="37">
        <v>16</v>
      </c>
      <c r="BN72" s="37"/>
      <c r="BT72" s="37"/>
      <c r="BU72" s="41"/>
      <c r="BV72" s="37"/>
      <c r="BW72" s="127"/>
      <c r="BX72" s="37"/>
      <c r="BY72" s="37"/>
      <c r="BZ72" s="37"/>
      <c r="CA72" s="41"/>
      <c r="GO72" s="37"/>
    </row>
    <row r="73" spans="43:197" ht="18" customHeight="1" hidden="1">
      <c r="AQ73" s="237">
        <f t="shared" si="32"/>
        <v>42</v>
      </c>
      <c r="AR73" s="237" t="s">
        <v>454</v>
      </c>
      <c r="AS73" s="238" t="s">
        <v>379</v>
      </c>
      <c r="AY73" s="20">
        <f t="shared" si="33"/>
        <v>71</v>
      </c>
      <c r="AZ73" s="315" t="s">
        <v>57</v>
      </c>
      <c r="BA73" s="38">
        <v>6</v>
      </c>
      <c r="BB73" s="38">
        <v>3</v>
      </c>
      <c r="BC73" s="38">
        <v>3</v>
      </c>
      <c r="BD73" s="38">
        <v>7</v>
      </c>
      <c r="BE73" s="40" t="s">
        <v>485</v>
      </c>
      <c r="BF73" s="37">
        <v>70000</v>
      </c>
      <c r="BG73" s="37" t="s">
        <v>211</v>
      </c>
      <c r="BH73" s="37">
        <v>20</v>
      </c>
      <c r="BI73" s="37">
        <v>30</v>
      </c>
      <c r="BJ73" s="37">
        <v>20</v>
      </c>
      <c r="BK73" s="37">
        <v>30</v>
      </c>
      <c r="BL73" s="37" t="s">
        <v>11</v>
      </c>
      <c r="BM73" s="37">
        <v>2</v>
      </c>
      <c r="BN73" s="37"/>
      <c r="BT73" s="37"/>
      <c r="BU73" s="41"/>
      <c r="BV73" s="37"/>
      <c r="BW73" s="127"/>
      <c r="BX73" s="37"/>
      <c r="BY73" s="37"/>
      <c r="BZ73" s="37"/>
      <c r="CA73" s="41"/>
      <c r="GO73" s="37"/>
    </row>
    <row r="74" spans="43:197" ht="18" customHeight="1" hidden="1">
      <c r="AQ74" s="237">
        <f t="shared" si="32"/>
        <v>43</v>
      </c>
      <c r="AR74" s="237" t="s">
        <v>454</v>
      </c>
      <c r="AS74" s="238" t="s">
        <v>380</v>
      </c>
      <c r="AY74" s="20">
        <f t="shared" si="33"/>
        <v>72</v>
      </c>
      <c r="AZ74" s="315" t="s">
        <v>174</v>
      </c>
      <c r="BA74" s="38">
        <v>7</v>
      </c>
      <c r="BB74" s="38">
        <v>3</v>
      </c>
      <c r="BC74" s="38">
        <v>3</v>
      </c>
      <c r="BD74" s="38">
        <v>7</v>
      </c>
      <c r="BE74" s="40" t="s">
        <v>487</v>
      </c>
      <c r="BF74" s="37">
        <v>90000</v>
      </c>
      <c r="BG74" s="37" t="s">
        <v>212</v>
      </c>
      <c r="BH74" s="37">
        <v>20</v>
      </c>
      <c r="BI74" s="37">
        <v>20</v>
      </c>
      <c r="BJ74" s="37">
        <v>30</v>
      </c>
      <c r="BK74" s="37">
        <v>30</v>
      </c>
      <c r="BL74" s="37" t="s">
        <v>11</v>
      </c>
      <c r="BM74" s="37">
        <v>2</v>
      </c>
      <c r="BN74" s="37"/>
      <c r="BT74" s="37"/>
      <c r="BU74" s="41"/>
      <c r="BV74" s="37"/>
      <c r="BW74" s="127"/>
      <c r="BX74" s="37"/>
      <c r="BY74" s="37"/>
      <c r="BZ74" s="37"/>
      <c r="CA74" s="41"/>
      <c r="GO74" s="23"/>
    </row>
    <row r="75" spans="43:197" ht="18" customHeight="1" hidden="1">
      <c r="AQ75" s="237">
        <f t="shared" si="32"/>
        <v>44</v>
      </c>
      <c r="AR75" s="237" t="s">
        <v>454</v>
      </c>
      <c r="AS75" s="238" t="s">
        <v>381</v>
      </c>
      <c r="AY75" s="20">
        <f t="shared" si="33"/>
        <v>73</v>
      </c>
      <c r="AZ75" s="315" t="s">
        <v>680</v>
      </c>
      <c r="BA75" s="38">
        <v>6</v>
      </c>
      <c r="BB75" s="38">
        <v>3</v>
      </c>
      <c r="BC75" s="38">
        <v>3</v>
      </c>
      <c r="BD75" s="38">
        <v>7</v>
      </c>
      <c r="BE75" s="40" t="s">
        <v>486</v>
      </c>
      <c r="BF75" s="37">
        <v>90000</v>
      </c>
      <c r="BG75" s="37" t="s">
        <v>213</v>
      </c>
      <c r="BH75" s="37">
        <v>20</v>
      </c>
      <c r="BI75" s="37">
        <v>30</v>
      </c>
      <c r="BJ75" s="37">
        <v>30</v>
      </c>
      <c r="BK75" s="37">
        <v>20</v>
      </c>
      <c r="BL75" s="37" t="s">
        <v>11</v>
      </c>
      <c r="BM75" s="37">
        <v>2</v>
      </c>
      <c r="BN75" s="189"/>
      <c r="BT75" s="37"/>
      <c r="BU75" s="41"/>
      <c r="BV75" s="37"/>
      <c r="BW75" s="127"/>
      <c r="BX75" s="37"/>
      <c r="BY75" s="37"/>
      <c r="BZ75" s="37"/>
      <c r="CA75" s="41"/>
      <c r="GO75" s="189"/>
    </row>
    <row r="76" spans="43:197" ht="18" customHeight="1" hidden="1">
      <c r="AQ76" s="237">
        <f t="shared" si="32"/>
        <v>45</v>
      </c>
      <c r="AR76" s="237" t="s">
        <v>454</v>
      </c>
      <c r="AS76" s="238" t="s">
        <v>382</v>
      </c>
      <c r="AY76" s="20">
        <f t="shared" si="33"/>
        <v>74</v>
      </c>
      <c r="AZ76" s="315" t="s">
        <v>763</v>
      </c>
      <c r="BA76" s="38">
        <v>6</v>
      </c>
      <c r="BB76" s="38">
        <v>4</v>
      </c>
      <c r="BC76" s="38">
        <v>2</v>
      </c>
      <c r="BD76" s="38">
        <v>8</v>
      </c>
      <c r="BE76" s="40" t="s">
        <v>350</v>
      </c>
      <c r="BF76" s="37">
        <v>110000</v>
      </c>
      <c r="BG76" s="37" t="s">
        <v>214</v>
      </c>
      <c r="BH76" s="37">
        <v>20</v>
      </c>
      <c r="BI76" s="37">
        <v>30</v>
      </c>
      <c r="BJ76" s="37">
        <v>30</v>
      </c>
      <c r="BK76" s="37">
        <v>20</v>
      </c>
      <c r="BL76" s="37" t="s">
        <v>11</v>
      </c>
      <c r="BM76" s="37">
        <v>2</v>
      </c>
      <c r="BN76" s="37"/>
      <c r="BT76" s="37"/>
      <c r="BU76" s="41"/>
      <c r="BV76" s="37"/>
      <c r="BW76" s="127"/>
      <c r="BX76" s="37"/>
      <c r="BY76" s="37"/>
      <c r="BZ76" s="37"/>
      <c r="CA76" s="41"/>
      <c r="GO76" s="37"/>
    </row>
    <row r="77" spans="43:197" ht="18" customHeight="1" hidden="1">
      <c r="AQ77" s="237">
        <f t="shared" si="32"/>
        <v>46</v>
      </c>
      <c r="AR77" s="237" t="s">
        <v>454</v>
      </c>
      <c r="AS77" s="238" t="s">
        <v>383</v>
      </c>
      <c r="AY77" s="20">
        <f t="shared" si="33"/>
        <v>75</v>
      </c>
      <c r="AZ77" s="315" t="s">
        <v>681</v>
      </c>
      <c r="BA77" s="38">
        <v>5</v>
      </c>
      <c r="BB77" s="38">
        <v>5</v>
      </c>
      <c r="BC77" s="38">
        <v>1</v>
      </c>
      <c r="BD77" s="38">
        <v>8</v>
      </c>
      <c r="BE77" s="40" t="s">
        <v>488</v>
      </c>
      <c r="BF77" s="37">
        <v>140000</v>
      </c>
      <c r="BG77" s="189" t="s">
        <v>327</v>
      </c>
      <c r="BH77" s="189">
        <v>30</v>
      </c>
      <c r="BI77" s="189">
        <v>30</v>
      </c>
      <c r="BJ77" s="189">
        <v>30</v>
      </c>
      <c r="BK77" s="189">
        <v>20</v>
      </c>
      <c r="BL77" s="189" t="s">
        <v>11</v>
      </c>
      <c r="BM77" s="37">
        <v>1</v>
      </c>
      <c r="BN77" s="37"/>
      <c r="BT77" s="37"/>
      <c r="BU77" s="41"/>
      <c r="BV77" s="37"/>
      <c r="BW77" s="127"/>
      <c r="BX77" s="37"/>
      <c r="BY77" s="37"/>
      <c r="BZ77" s="37"/>
      <c r="CA77" s="41"/>
      <c r="GO77" s="37"/>
    </row>
    <row r="78" spans="43:197" ht="18" customHeight="1" hidden="1">
      <c r="AQ78" s="237">
        <f t="shared" si="32"/>
        <v>47</v>
      </c>
      <c r="AR78" s="237" t="s">
        <v>455</v>
      </c>
      <c r="AS78" s="238" t="s">
        <v>386</v>
      </c>
      <c r="AY78" s="20">
        <f t="shared" si="33"/>
        <v>76</v>
      </c>
      <c r="AZ78" s="33" t="s">
        <v>262</v>
      </c>
      <c r="BA78" s="38">
        <v>6</v>
      </c>
      <c r="BB78" s="38">
        <v>3</v>
      </c>
      <c r="BC78" s="38">
        <v>3</v>
      </c>
      <c r="BD78" s="38">
        <v>7</v>
      </c>
      <c r="BE78" s="40" t="s">
        <v>263</v>
      </c>
      <c r="BF78" s="37">
        <v>50000</v>
      </c>
      <c r="BG78" s="189" t="s">
        <v>433</v>
      </c>
      <c r="BH78" s="189" t="s">
        <v>11</v>
      </c>
      <c r="BI78" s="189" t="s">
        <v>11</v>
      </c>
      <c r="BJ78" s="189" t="s">
        <v>11</v>
      </c>
      <c r="BK78" s="189" t="s">
        <v>11</v>
      </c>
      <c r="BL78" s="189" t="s">
        <v>11</v>
      </c>
      <c r="BM78" s="189">
        <v>11</v>
      </c>
      <c r="BN78" s="37"/>
      <c r="BT78" s="37"/>
      <c r="BU78" s="41"/>
      <c r="BV78" s="37"/>
      <c r="BW78" s="127"/>
      <c r="BX78" s="37"/>
      <c r="BY78" s="37"/>
      <c r="BZ78" s="37"/>
      <c r="CA78" s="41"/>
      <c r="GO78" s="37"/>
    </row>
    <row r="79" spans="43:197" ht="18" customHeight="1" hidden="1">
      <c r="AQ79" s="237">
        <f t="shared" si="32"/>
        <v>48</v>
      </c>
      <c r="AR79" s="237" t="s">
        <v>455</v>
      </c>
      <c r="AS79" s="238" t="s">
        <v>387</v>
      </c>
      <c r="AY79" s="20">
        <f t="shared" si="33"/>
        <v>77</v>
      </c>
      <c r="AZ79" s="315" t="s">
        <v>177</v>
      </c>
      <c r="BA79" s="38">
        <v>5</v>
      </c>
      <c r="BB79" s="38">
        <v>3</v>
      </c>
      <c r="BC79" s="38">
        <v>3</v>
      </c>
      <c r="BD79" s="38">
        <v>8</v>
      </c>
      <c r="BE79" s="40" t="s">
        <v>489</v>
      </c>
      <c r="BF79" s="37">
        <v>40000</v>
      </c>
      <c r="BG79" s="37" t="s">
        <v>215</v>
      </c>
      <c r="BH79" s="37">
        <v>20</v>
      </c>
      <c r="BI79" s="37">
        <v>30</v>
      </c>
      <c r="BJ79" s="37">
        <v>30</v>
      </c>
      <c r="BK79" s="37">
        <v>30</v>
      </c>
      <c r="BL79" s="37">
        <v>20</v>
      </c>
      <c r="BM79" s="37">
        <v>16</v>
      </c>
      <c r="BN79" s="37"/>
      <c r="BT79" s="37"/>
      <c r="BU79" s="41"/>
      <c r="BV79" s="37"/>
      <c r="BW79" s="127"/>
      <c r="BX79" s="37"/>
      <c r="BY79" s="37"/>
      <c r="BZ79" s="37"/>
      <c r="CA79" s="41"/>
      <c r="GO79" s="37"/>
    </row>
    <row r="80" spans="43:197" ht="18" customHeight="1" hidden="1">
      <c r="AQ80" s="237">
        <f t="shared" si="32"/>
        <v>49</v>
      </c>
      <c r="AR80" s="237" t="s">
        <v>455</v>
      </c>
      <c r="AS80" s="238" t="s">
        <v>388</v>
      </c>
      <c r="AY80" s="20">
        <f t="shared" si="33"/>
        <v>78</v>
      </c>
      <c r="AZ80" s="315" t="s">
        <v>792</v>
      </c>
      <c r="BA80" s="38">
        <v>6</v>
      </c>
      <c r="BB80" s="38">
        <v>3</v>
      </c>
      <c r="BC80" s="38">
        <v>3</v>
      </c>
      <c r="BD80" s="38">
        <v>8</v>
      </c>
      <c r="BE80" s="40" t="s">
        <v>490</v>
      </c>
      <c r="BF80" s="37">
        <v>80000</v>
      </c>
      <c r="BG80" s="37" t="s">
        <v>216</v>
      </c>
      <c r="BH80" s="37">
        <v>20</v>
      </c>
      <c r="BI80" s="37">
        <v>30</v>
      </c>
      <c r="BJ80" s="37">
        <v>30</v>
      </c>
      <c r="BK80" s="37">
        <v>20</v>
      </c>
      <c r="BL80" s="37">
        <v>20</v>
      </c>
      <c r="BM80" s="37">
        <v>4</v>
      </c>
      <c r="BN80" s="189"/>
      <c r="BT80" s="37"/>
      <c r="BU80" s="41"/>
      <c r="BV80" s="37"/>
      <c r="BW80" s="127"/>
      <c r="BX80" s="37"/>
      <c r="BY80" s="37"/>
      <c r="BZ80" s="37"/>
      <c r="CA80" s="41"/>
      <c r="GO80" s="189"/>
    </row>
    <row r="81" spans="43:197" ht="18" customHeight="1" hidden="1">
      <c r="AQ81" s="237">
        <f t="shared" si="32"/>
        <v>50</v>
      </c>
      <c r="AR81" s="237" t="s">
        <v>455</v>
      </c>
      <c r="AS81" s="238" t="s">
        <v>389</v>
      </c>
      <c r="AY81" s="20">
        <f t="shared" si="33"/>
        <v>79</v>
      </c>
      <c r="AZ81" s="315" t="s">
        <v>793</v>
      </c>
      <c r="BA81" s="38">
        <v>4</v>
      </c>
      <c r="BB81" s="38">
        <v>4</v>
      </c>
      <c r="BC81" s="38">
        <v>2</v>
      </c>
      <c r="BD81" s="38">
        <v>9</v>
      </c>
      <c r="BE81" s="40" t="s">
        <v>128</v>
      </c>
      <c r="BF81" s="37">
        <v>110000</v>
      </c>
      <c r="BG81" s="37" t="s">
        <v>217</v>
      </c>
      <c r="BH81" s="37">
        <v>20</v>
      </c>
      <c r="BI81" s="37">
        <v>30</v>
      </c>
      <c r="BJ81" s="37">
        <v>30</v>
      </c>
      <c r="BK81" s="37">
        <v>20</v>
      </c>
      <c r="BL81" s="37">
        <v>20</v>
      </c>
      <c r="BM81" s="37">
        <v>4</v>
      </c>
      <c r="BN81" s="37"/>
      <c r="BT81" s="37"/>
      <c r="BU81" s="41"/>
      <c r="BV81" s="37"/>
      <c r="BW81" s="127"/>
      <c r="BX81" s="37"/>
      <c r="BY81" s="37"/>
      <c r="BZ81" s="37"/>
      <c r="CA81" s="41"/>
      <c r="GO81" s="23"/>
    </row>
    <row r="82" spans="43:197" ht="18" customHeight="1" hidden="1">
      <c r="AQ82" s="237">
        <f t="shared" si="32"/>
        <v>51</v>
      </c>
      <c r="AR82" s="237" t="s">
        <v>455</v>
      </c>
      <c r="AS82" s="238" t="s">
        <v>390</v>
      </c>
      <c r="AY82" s="20">
        <f t="shared" si="33"/>
        <v>80</v>
      </c>
      <c r="AZ82" s="315" t="s">
        <v>794</v>
      </c>
      <c r="BA82" s="38">
        <v>4</v>
      </c>
      <c r="BB82" s="38">
        <v>5</v>
      </c>
      <c r="BC82" s="38">
        <v>1</v>
      </c>
      <c r="BD82" s="38">
        <v>9</v>
      </c>
      <c r="BE82" s="40" t="s">
        <v>127</v>
      </c>
      <c r="BF82" s="37">
        <v>140000</v>
      </c>
      <c r="BG82" s="189" t="s">
        <v>328</v>
      </c>
      <c r="BH82" s="189">
        <v>30</v>
      </c>
      <c r="BI82" s="189">
        <v>30</v>
      </c>
      <c r="BJ82" s="189">
        <v>30</v>
      </c>
      <c r="BK82" s="189">
        <v>20</v>
      </c>
      <c r="BL82" s="189">
        <v>30</v>
      </c>
      <c r="BM82" s="37">
        <v>1</v>
      </c>
      <c r="BN82" s="37"/>
      <c r="BT82" s="37"/>
      <c r="BU82" s="41"/>
      <c r="BV82" s="37"/>
      <c r="BW82" s="127"/>
      <c r="BX82" s="37"/>
      <c r="BY82" s="37"/>
      <c r="BZ82" s="37"/>
      <c r="CA82" s="41"/>
      <c r="GO82" s="23"/>
    </row>
    <row r="83" spans="43:197" ht="18" customHeight="1" hidden="1">
      <c r="AQ83" s="237">
        <f t="shared" si="32"/>
        <v>52</v>
      </c>
      <c r="AR83" s="237" t="s">
        <v>455</v>
      </c>
      <c r="AS83" s="238" t="s">
        <v>391</v>
      </c>
      <c r="AY83" s="20">
        <f t="shared" si="33"/>
        <v>81</v>
      </c>
      <c r="AZ83" s="33" t="s">
        <v>264</v>
      </c>
      <c r="BA83" s="38">
        <v>5</v>
      </c>
      <c r="BB83" s="38">
        <v>3</v>
      </c>
      <c r="BC83" s="38">
        <v>3</v>
      </c>
      <c r="BD83" s="38">
        <v>8</v>
      </c>
      <c r="BE83" s="40" t="s">
        <v>265</v>
      </c>
      <c r="BF83" s="37">
        <v>40000</v>
      </c>
      <c r="BG83" s="189" t="s">
        <v>427</v>
      </c>
      <c r="BH83" s="189" t="s">
        <v>11</v>
      </c>
      <c r="BI83" s="189" t="s">
        <v>11</v>
      </c>
      <c r="BJ83" s="189" t="s">
        <v>11</v>
      </c>
      <c r="BK83" s="189" t="s">
        <v>11</v>
      </c>
      <c r="BL83" s="189" t="s">
        <v>11</v>
      </c>
      <c r="BM83" s="189">
        <v>11</v>
      </c>
      <c r="BN83" s="189"/>
      <c r="BT83" s="37"/>
      <c r="BU83" s="41"/>
      <c r="BV83" s="37"/>
      <c r="BW83" s="127"/>
      <c r="BX83" s="37"/>
      <c r="BY83" s="37"/>
      <c r="BZ83" s="37"/>
      <c r="CA83" s="41"/>
      <c r="GO83" s="189"/>
    </row>
    <row r="84" spans="43:197" ht="18" customHeight="1" hidden="1">
      <c r="AQ84" s="237">
        <f t="shared" si="32"/>
        <v>53</v>
      </c>
      <c r="AR84" s="237" t="s">
        <v>455</v>
      </c>
      <c r="AS84" s="238" t="s">
        <v>392</v>
      </c>
      <c r="AY84" s="20">
        <f t="shared" si="33"/>
        <v>82</v>
      </c>
      <c r="AZ84" s="315" t="s">
        <v>775</v>
      </c>
      <c r="BA84" s="38">
        <v>5</v>
      </c>
      <c r="BB84" s="38">
        <v>1</v>
      </c>
      <c r="BC84" s="38">
        <v>3</v>
      </c>
      <c r="BD84" s="38">
        <v>5</v>
      </c>
      <c r="BE84" s="40" t="s">
        <v>129</v>
      </c>
      <c r="BF84" s="37">
        <v>20000</v>
      </c>
      <c r="BG84" s="37" t="s">
        <v>218</v>
      </c>
      <c r="BH84" s="37">
        <v>30</v>
      </c>
      <c r="BI84" s="37">
        <v>20</v>
      </c>
      <c r="BJ84" s="37">
        <v>30</v>
      </c>
      <c r="BK84" s="37">
        <v>30</v>
      </c>
      <c r="BL84" s="37" t="s">
        <v>11</v>
      </c>
      <c r="BM84" s="37">
        <v>16</v>
      </c>
      <c r="BN84" s="23"/>
      <c r="BT84" s="37"/>
      <c r="BU84" s="41"/>
      <c r="BV84" s="37"/>
      <c r="BW84" s="127"/>
      <c r="BX84" s="37"/>
      <c r="BY84" s="37"/>
      <c r="BZ84" s="37"/>
      <c r="CA84" s="41"/>
      <c r="GO84" s="23"/>
    </row>
    <row r="85" spans="43:197" ht="18" customHeight="1" hidden="1">
      <c r="AQ85" s="237">
        <f t="shared" si="32"/>
        <v>54</v>
      </c>
      <c r="AR85" s="237" t="s">
        <v>455</v>
      </c>
      <c r="AS85" s="238" t="s">
        <v>393</v>
      </c>
      <c r="AY85" s="20">
        <f t="shared" si="33"/>
        <v>83</v>
      </c>
      <c r="AZ85" s="315" t="s">
        <v>175</v>
      </c>
      <c r="BA85" s="38">
        <v>5</v>
      </c>
      <c r="BB85" s="38">
        <v>5</v>
      </c>
      <c r="BC85" s="38">
        <v>2</v>
      </c>
      <c r="BD85" s="38">
        <v>9</v>
      </c>
      <c r="BE85" s="40" t="s">
        <v>491</v>
      </c>
      <c r="BF85" s="37">
        <v>140000</v>
      </c>
      <c r="BG85" s="37" t="s">
        <v>219</v>
      </c>
      <c r="BH85" s="37">
        <v>30</v>
      </c>
      <c r="BI85" s="37">
        <v>30</v>
      </c>
      <c r="BJ85" s="37">
        <v>30</v>
      </c>
      <c r="BK85" s="37">
        <v>20</v>
      </c>
      <c r="BL85" s="37" t="s">
        <v>11</v>
      </c>
      <c r="BM85" s="37">
        <v>6</v>
      </c>
      <c r="BN85" s="23"/>
      <c r="BT85" s="37"/>
      <c r="BU85" s="41"/>
      <c r="BV85" s="37"/>
      <c r="BW85" s="127"/>
      <c r="BX85" s="37"/>
      <c r="BY85" s="37"/>
      <c r="BZ85" s="37"/>
      <c r="CA85" s="41"/>
      <c r="GO85" s="23"/>
    </row>
    <row r="86" spans="43:197" ht="18" customHeight="1" hidden="1">
      <c r="AQ86" s="237">
        <f t="shared" si="32"/>
        <v>55</v>
      </c>
      <c r="AR86" s="237" t="s">
        <v>455</v>
      </c>
      <c r="AS86" s="238" t="s">
        <v>394</v>
      </c>
      <c r="AY86" s="20">
        <f t="shared" si="33"/>
        <v>84</v>
      </c>
      <c r="AZ86" s="315" t="s">
        <v>777</v>
      </c>
      <c r="BA86" s="38">
        <v>5</v>
      </c>
      <c r="BB86" s="38">
        <v>1</v>
      </c>
      <c r="BC86" s="38">
        <v>3</v>
      </c>
      <c r="BD86" s="38">
        <v>5</v>
      </c>
      <c r="BE86" s="40" t="s">
        <v>266</v>
      </c>
      <c r="BF86" s="37">
        <v>20000</v>
      </c>
      <c r="BG86" s="189" t="s">
        <v>329</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customHeight="1" hidden="1">
      <c r="AQ87" s="237">
        <f t="shared" si="32"/>
        <v>56</v>
      </c>
      <c r="AR87" s="237" t="s">
        <v>455</v>
      </c>
      <c r="AS87" s="238" t="s">
        <v>395</v>
      </c>
      <c r="AY87" s="20">
        <f t="shared" si="33"/>
        <v>85</v>
      </c>
      <c r="AZ87" s="317" t="s">
        <v>25</v>
      </c>
      <c r="BA87" s="22">
        <v>5</v>
      </c>
      <c r="BB87" s="22">
        <v>3</v>
      </c>
      <c r="BC87" s="22">
        <v>3</v>
      </c>
      <c r="BD87" s="22">
        <v>9</v>
      </c>
      <c r="BE87" s="39"/>
      <c r="BF87" s="23">
        <v>50000</v>
      </c>
      <c r="BG87" s="23" t="s">
        <v>225</v>
      </c>
      <c r="BH87" s="23">
        <v>20</v>
      </c>
      <c r="BI87" s="23">
        <v>30</v>
      </c>
      <c r="BJ87" s="23">
        <v>30</v>
      </c>
      <c r="BK87" s="23">
        <v>30</v>
      </c>
      <c r="BL87" s="23" t="s">
        <v>11</v>
      </c>
      <c r="BM87" s="23">
        <v>16</v>
      </c>
      <c r="BN87" s="23"/>
      <c r="BT87" s="37"/>
      <c r="BU87" s="41"/>
      <c r="BV87" s="37"/>
      <c r="BW87" s="127"/>
      <c r="BX87" s="37"/>
      <c r="BY87" s="37"/>
      <c r="BZ87" s="37"/>
      <c r="CA87" s="41"/>
      <c r="GO87" s="23"/>
    </row>
    <row r="88" spans="51:197" ht="18" customHeight="1" hidden="1">
      <c r="AY88" s="20">
        <f t="shared" si="33"/>
        <v>86</v>
      </c>
      <c r="AZ88" s="317" t="s">
        <v>436</v>
      </c>
      <c r="BA88" s="22">
        <v>6</v>
      </c>
      <c r="BB88" s="22">
        <v>2</v>
      </c>
      <c r="BC88" s="22">
        <v>3</v>
      </c>
      <c r="BD88" s="22">
        <v>7</v>
      </c>
      <c r="BE88" s="39" t="s">
        <v>463</v>
      </c>
      <c r="BF88" s="23">
        <v>40000</v>
      </c>
      <c r="BG88" s="23" t="s">
        <v>226</v>
      </c>
      <c r="BH88" s="23">
        <v>30</v>
      </c>
      <c r="BI88" s="23">
        <v>20</v>
      </c>
      <c r="BJ88" s="23">
        <v>30</v>
      </c>
      <c r="BK88" s="23">
        <v>30</v>
      </c>
      <c r="BL88" s="23" t="s">
        <v>11</v>
      </c>
      <c r="BM88" s="23">
        <v>4</v>
      </c>
      <c r="BN88" s="23"/>
      <c r="BT88" s="37"/>
      <c r="BU88" s="41"/>
      <c r="BV88" s="37"/>
      <c r="BW88" s="127"/>
      <c r="BX88" s="37"/>
      <c r="BY88" s="37"/>
      <c r="BZ88" s="37"/>
      <c r="CA88" s="41"/>
      <c r="GO88" s="23"/>
    </row>
    <row r="89" spans="51:197" ht="18" customHeight="1" hidden="1">
      <c r="AY89" s="20">
        <f t="shared" si="33"/>
        <v>87</v>
      </c>
      <c r="AZ89" s="317" t="s">
        <v>27</v>
      </c>
      <c r="BA89" s="22">
        <v>5</v>
      </c>
      <c r="BB89" s="22">
        <v>3</v>
      </c>
      <c r="BC89" s="22">
        <v>3</v>
      </c>
      <c r="BD89" s="22">
        <v>8</v>
      </c>
      <c r="BE89" s="39" t="s">
        <v>465</v>
      </c>
      <c r="BF89" s="23">
        <v>70000</v>
      </c>
      <c r="BG89" s="23" t="s">
        <v>227</v>
      </c>
      <c r="BH89" s="23">
        <v>20</v>
      </c>
      <c r="BI89" s="23">
        <v>30</v>
      </c>
      <c r="BJ89" s="23">
        <v>20</v>
      </c>
      <c r="BK89" s="23">
        <v>30</v>
      </c>
      <c r="BL89" s="23" t="s">
        <v>11</v>
      </c>
      <c r="BM89" s="23">
        <v>2</v>
      </c>
      <c r="BN89" s="37"/>
      <c r="BT89" s="37"/>
      <c r="BU89" s="41"/>
      <c r="BV89" s="37"/>
      <c r="BW89" s="127"/>
      <c r="BX89" s="37"/>
      <c r="BY89" s="37"/>
      <c r="BZ89" s="37"/>
      <c r="CA89" s="41"/>
      <c r="GO89" s="23"/>
    </row>
    <row r="90" spans="51:197" ht="18" customHeight="1" hidden="1">
      <c r="AY90" s="20">
        <f t="shared" si="33"/>
        <v>88</v>
      </c>
      <c r="AZ90" s="317" t="s">
        <v>796</v>
      </c>
      <c r="BA90" s="22">
        <v>4</v>
      </c>
      <c r="BB90" s="22">
        <v>4</v>
      </c>
      <c r="BC90" s="22">
        <v>2</v>
      </c>
      <c r="BD90" s="22">
        <v>9</v>
      </c>
      <c r="BE90" s="39"/>
      <c r="BF90" s="23">
        <v>80000</v>
      </c>
      <c r="BG90" s="23" t="s">
        <v>228</v>
      </c>
      <c r="BH90" s="23">
        <v>20</v>
      </c>
      <c r="BI90" s="23">
        <v>30</v>
      </c>
      <c r="BJ90" s="23">
        <v>30</v>
      </c>
      <c r="BK90" s="23">
        <v>20</v>
      </c>
      <c r="BL90" s="23" t="s">
        <v>11</v>
      </c>
      <c r="BM90" s="23">
        <v>4</v>
      </c>
      <c r="BN90" s="189"/>
      <c r="BT90" s="37"/>
      <c r="BU90" s="41"/>
      <c r="BV90" s="37"/>
      <c r="BW90" s="127"/>
      <c r="BX90" s="37"/>
      <c r="BY90" s="37"/>
      <c r="BZ90" s="37"/>
      <c r="CA90" s="41"/>
      <c r="GO90" s="189"/>
    </row>
    <row r="91" spans="51:197" ht="18" customHeight="1" hidden="1">
      <c r="AY91" s="20">
        <f t="shared" si="33"/>
        <v>89</v>
      </c>
      <c r="AZ91" s="317" t="s">
        <v>29</v>
      </c>
      <c r="BA91" s="22">
        <v>6</v>
      </c>
      <c r="BB91" s="22">
        <v>3</v>
      </c>
      <c r="BC91" s="22">
        <v>3</v>
      </c>
      <c r="BD91" s="22">
        <v>9</v>
      </c>
      <c r="BE91" s="39" t="s">
        <v>346</v>
      </c>
      <c r="BF91" s="23">
        <v>80000</v>
      </c>
      <c r="BG91" s="23" t="s">
        <v>330</v>
      </c>
      <c r="BH91" s="23">
        <v>20</v>
      </c>
      <c r="BI91" s="23">
        <v>30</v>
      </c>
      <c r="BJ91" s="23">
        <v>30</v>
      </c>
      <c r="BK91" s="23">
        <v>20</v>
      </c>
      <c r="BL91" s="23" t="s">
        <v>11</v>
      </c>
      <c r="BM91" s="23">
        <v>4</v>
      </c>
      <c r="BN91" s="23"/>
      <c r="BT91" s="37"/>
      <c r="BU91" s="41"/>
      <c r="BV91" s="37"/>
      <c r="BW91" s="127"/>
      <c r="BX91" s="37"/>
      <c r="BY91" s="37"/>
      <c r="BZ91" s="37"/>
      <c r="CA91" s="41"/>
      <c r="GO91" s="23"/>
    </row>
    <row r="92" spans="51:197" ht="18" customHeight="1" hidden="1">
      <c r="AY92" s="20">
        <f t="shared" si="33"/>
        <v>90</v>
      </c>
      <c r="AZ92" s="315" t="s">
        <v>72</v>
      </c>
      <c r="BA92" s="38">
        <v>4</v>
      </c>
      <c r="BB92" s="38">
        <v>5</v>
      </c>
      <c r="BC92" s="38">
        <v>1</v>
      </c>
      <c r="BD92" s="38">
        <v>9</v>
      </c>
      <c r="BE92" s="40" t="s">
        <v>469</v>
      </c>
      <c r="BF92" s="37">
        <v>110000</v>
      </c>
      <c r="BG92" s="189" t="s">
        <v>434</v>
      </c>
      <c r="BH92" s="189">
        <v>30</v>
      </c>
      <c r="BI92" s="189">
        <v>30</v>
      </c>
      <c r="BJ92" s="189">
        <v>30</v>
      </c>
      <c r="BK92" s="189">
        <v>20</v>
      </c>
      <c r="BL92" s="189" t="s">
        <v>11</v>
      </c>
      <c r="BM92" s="37">
        <v>1</v>
      </c>
      <c r="BN92" s="23"/>
      <c r="BT92" s="37"/>
      <c r="BU92" s="41"/>
      <c r="BV92" s="37"/>
      <c r="BW92" s="127"/>
      <c r="BX92" s="37"/>
      <c r="BY92" s="37"/>
      <c r="BZ92" s="37"/>
      <c r="CA92" s="41"/>
      <c r="GO92" s="23"/>
    </row>
    <row r="93" spans="51:197" ht="18" customHeight="1" hidden="1">
      <c r="AY93" s="20">
        <f t="shared" si="33"/>
        <v>91</v>
      </c>
      <c r="AZ93" s="33" t="s">
        <v>267</v>
      </c>
      <c r="BA93" s="38">
        <v>5</v>
      </c>
      <c r="BB93" s="38">
        <v>3</v>
      </c>
      <c r="BC93" s="38">
        <v>3</v>
      </c>
      <c r="BD93" s="38">
        <v>9</v>
      </c>
      <c r="BE93" s="40" t="s">
        <v>251</v>
      </c>
      <c r="BF93" s="37">
        <v>50000</v>
      </c>
      <c r="BG93" s="189" t="s">
        <v>435</v>
      </c>
      <c r="BH93" s="189" t="s">
        <v>11</v>
      </c>
      <c r="BI93" s="189" t="s">
        <v>11</v>
      </c>
      <c r="BJ93" s="189" t="s">
        <v>11</v>
      </c>
      <c r="BK93" s="189" t="s">
        <v>11</v>
      </c>
      <c r="BL93" s="189" t="s">
        <v>11</v>
      </c>
      <c r="BM93" s="189">
        <v>11</v>
      </c>
      <c r="BN93" s="23"/>
      <c r="BT93" s="37"/>
      <c r="BU93" s="41"/>
      <c r="BV93" s="37"/>
      <c r="BW93" s="127"/>
      <c r="BX93" s="37"/>
      <c r="BY93" s="37"/>
      <c r="BZ93" s="37"/>
      <c r="CA93" s="41"/>
      <c r="GO93" s="23"/>
    </row>
    <row r="94" spans="51:197" ht="18" customHeight="1" hidden="1">
      <c r="AY94" s="20">
        <f t="shared" si="33"/>
        <v>92</v>
      </c>
      <c r="AZ94" s="317" t="s">
        <v>44</v>
      </c>
      <c r="BA94" s="22">
        <v>7</v>
      </c>
      <c r="BB94" s="22">
        <v>3</v>
      </c>
      <c r="BC94" s="22">
        <v>3</v>
      </c>
      <c r="BD94" s="22">
        <v>7</v>
      </c>
      <c r="BE94" s="39"/>
      <c r="BF94" s="23">
        <v>50000</v>
      </c>
      <c r="BG94" s="23" t="s">
        <v>229</v>
      </c>
      <c r="BH94" s="23">
        <v>20</v>
      </c>
      <c r="BI94" s="23">
        <v>30</v>
      </c>
      <c r="BJ94" s="23">
        <v>30</v>
      </c>
      <c r="BK94" s="23">
        <v>30</v>
      </c>
      <c r="BL94" s="23">
        <v>30</v>
      </c>
      <c r="BM94" s="23">
        <v>16</v>
      </c>
      <c r="BN94" s="23"/>
      <c r="BT94" s="37"/>
      <c r="BU94" s="41"/>
      <c r="BV94" s="37"/>
      <c r="BW94" s="127"/>
      <c r="BX94" s="37"/>
      <c r="BY94" s="37"/>
      <c r="BZ94" s="37"/>
      <c r="CA94" s="41"/>
      <c r="GO94" s="23"/>
    </row>
    <row r="95" spans="51:197" ht="18" customHeight="1" hidden="1">
      <c r="AY95" s="20">
        <f t="shared" si="33"/>
        <v>93</v>
      </c>
      <c r="AZ95" s="317" t="s">
        <v>45</v>
      </c>
      <c r="BA95" s="22">
        <v>7</v>
      </c>
      <c r="BB95" s="22">
        <v>3</v>
      </c>
      <c r="BC95" s="22">
        <v>3</v>
      </c>
      <c r="BD95" s="22">
        <v>7</v>
      </c>
      <c r="BE95" s="39" t="s">
        <v>465</v>
      </c>
      <c r="BF95" s="23">
        <v>70000</v>
      </c>
      <c r="BG95" s="23" t="s">
        <v>230</v>
      </c>
      <c r="BH95" s="23">
        <v>20</v>
      </c>
      <c r="BI95" s="23">
        <v>30</v>
      </c>
      <c r="BJ95" s="23">
        <v>20</v>
      </c>
      <c r="BK95" s="23">
        <v>30</v>
      </c>
      <c r="BL95" s="23">
        <v>30</v>
      </c>
      <c r="BM95" s="23">
        <v>2</v>
      </c>
      <c r="BN95" s="37"/>
      <c r="BT95" s="37"/>
      <c r="BU95" s="41"/>
      <c r="BV95" s="37"/>
      <c r="BW95" s="127"/>
      <c r="BX95" s="37"/>
      <c r="BY95" s="37"/>
      <c r="BZ95" s="37"/>
      <c r="CA95" s="41"/>
      <c r="GO95" s="23"/>
    </row>
    <row r="96" spans="51:197" ht="18" customHeight="1" hidden="1">
      <c r="AY96" s="20">
        <f t="shared" si="33"/>
        <v>94</v>
      </c>
      <c r="AZ96" s="317" t="s">
        <v>46</v>
      </c>
      <c r="BA96" s="22">
        <v>9</v>
      </c>
      <c r="BB96" s="22">
        <v>2</v>
      </c>
      <c r="BC96" s="22">
        <v>4</v>
      </c>
      <c r="BD96" s="22">
        <v>7</v>
      </c>
      <c r="BE96" s="39" t="s">
        <v>798</v>
      </c>
      <c r="BF96" s="23">
        <v>80000</v>
      </c>
      <c r="BG96" s="23" t="s">
        <v>231</v>
      </c>
      <c r="BH96" s="23">
        <v>20</v>
      </c>
      <c r="BI96" s="23">
        <v>20</v>
      </c>
      <c r="BJ96" s="23">
        <v>30</v>
      </c>
      <c r="BK96" s="23">
        <v>30</v>
      </c>
      <c r="BL96" s="23">
        <v>30</v>
      </c>
      <c r="BM96" s="23">
        <v>4</v>
      </c>
      <c r="BN96" s="189"/>
      <c r="BT96" s="37"/>
      <c r="BU96" s="41"/>
      <c r="BV96" s="37"/>
      <c r="BW96" s="127"/>
      <c r="BX96" s="37"/>
      <c r="BY96" s="37"/>
      <c r="BZ96" s="37"/>
      <c r="CA96" s="41"/>
      <c r="GO96" s="189"/>
    </row>
    <row r="97" spans="51:197" ht="18" customHeight="1" hidden="1">
      <c r="AY97" s="20">
        <f t="shared" si="33"/>
        <v>95</v>
      </c>
      <c r="AZ97" s="317" t="s">
        <v>173</v>
      </c>
      <c r="BA97" s="22">
        <v>7</v>
      </c>
      <c r="BB97" s="22">
        <v>3</v>
      </c>
      <c r="BC97" s="22">
        <v>3</v>
      </c>
      <c r="BD97" s="22">
        <v>8</v>
      </c>
      <c r="BE97" s="39" t="s">
        <v>346</v>
      </c>
      <c r="BF97" s="23">
        <v>90000</v>
      </c>
      <c r="BG97" s="23" t="s">
        <v>232</v>
      </c>
      <c r="BH97" s="23">
        <v>20</v>
      </c>
      <c r="BI97" s="23">
        <v>30</v>
      </c>
      <c r="BJ97" s="23">
        <v>30</v>
      </c>
      <c r="BK97" s="23">
        <v>20</v>
      </c>
      <c r="BL97" s="23">
        <v>30</v>
      </c>
      <c r="BM97" s="23">
        <v>2</v>
      </c>
      <c r="BN97" s="37"/>
      <c r="BT97" s="37"/>
      <c r="BU97" s="41"/>
      <c r="BV97" s="37"/>
      <c r="BW97" s="127"/>
      <c r="BX97" s="37"/>
      <c r="BY97" s="37"/>
      <c r="BZ97" s="37"/>
      <c r="CA97" s="41"/>
      <c r="GO97" s="37"/>
    </row>
    <row r="98" spans="51:197" ht="18" customHeight="1" hidden="1">
      <c r="AY98" s="20">
        <f t="shared" si="33"/>
        <v>96</v>
      </c>
      <c r="AZ98" s="315" t="s">
        <v>76</v>
      </c>
      <c r="BA98" s="38">
        <v>6</v>
      </c>
      <c r="BB98" s="38">
        <v>5</v>
      </c>
      <c r="BC98" s="38">
        <v>2</v>
      </c>
      <c r="BD98" s="38">
        <v>8</v>
      </c>
      <c r="BE98" s="40" t="s">
        <v>492</v>
      </c>
      <c r="BF98" s="37">
        <v>150000</v>
      </c>
      <c r="BG98" s="189" t="s">
        <v>331</v>
      </c>
      <c r="BH98" s="189">
        <v>30</v>
      </c>
      <c r="BI98" s="189">
        <v>30</v>
      </c>
      <c r="BJ98" s="189">
        <v>30</v>
      </c>
      <c r="BK98" s="189">
        <v>20</v>
      </c>
      <c r="BL98" s="189">
        <v>30</v>
      </c>
      <c r="BM98" s="37">
        <v>1</v>
      </c>
      <c r="BN98" s="37"/>
      <c r="BT98" s="37"/>
      <c r="BU98" s="41"/>
      <c r="BV98" s="37"/>
      <c r="BW98" s="127"/>
      <c r="BX98" s="37"/>
      <c r="BY98" s="37"/>
      <c r="BZ98" s="37"/>
      <c r="CA98" s="41"/>
      <c r="GO98" s="37"/>
    </row>
    <row r="99" spans="51:197" ht="18" customHeight="1" hidden="1">
      <c r="AY99" s="20">
        <f t="shared" si="33"/>
        <v>97</v>
      </c>
      <c r="AZ99" s="33" t="s">
        <v>268</v>
      </c>
      <c r="BA99" s="38">
        <v>7</v>
      </c>
      <c r="BB99" s="38">
        <v>3</v>
      </c>
      <c r="BC99" s="38">
        <v>3</v>
      </c>
      <c r="BD99" s="38">
        <v>7</v>
      </c>
      <c r="BE99" s="40" t="s">
        <v>251</v>
      </c>
      <c r="BF99" s="37">
        <v>50000</v>
      </c>
      <c r="BG99" s="189" t="s">
        <v>432</v>
      </c>
      <c r="BH99" s="189" t="s">
        <v>11</v>
      </c>
      <c r="BI99" s="189" t="s">
        <v>11</v>
      </c>
      <c r="BJ99" s="189" t="s">
        <v>11</v>
      </c>
      <c r="BK99" s="189" t="s">
        <v>11</v>
      </c>
      <c r="BL99" s="189" t="s">
        <v>11</v>
      </c>
      <c r="BM99" s="189">
        <v>11</v>
      </c>
      <c r="BN99" s="37"/>
      <c r="BT99" s="37"/>
      <c r="BU99" s="41"/>
      <c r="BV99" s="37"/>
      <c r="BW99" s="127"/>
      <c r="BX99" s="37"/>
      <c r="BY99" s="37"/>
      <c r="BZ99" s="37"/>
      <c r="CA99" s="41"/>
      <c r="GO99" s="37"/>
    </row>
    <row r="100" spans="51:197" ht="18" customHeight="1" hidden="1">
      <c r="AY100" s="20">
        <f t="shared" si="33"/>
        <v>98</v>
      </c>
      <c r="AZ100" s="315" t="s">
        <v>758</v>
      </c>
      <c r="BA100" s="38">
        <v>5</v>
      </c>
      <c r="BB100" s="38">
        <v>3</v>
      </c>
      <c r="BC100" s="38">
        <v>2</v>
      </c>
      <c r="BD100" s="38">
        <v>7</v>
      </c>
      <c r="BE100" s="40" t="s">
        <v>456</v>
      </c>
      <c r="BF100" s="37">
        <v>40000</v>
      </c>
      <c r="BG100" s="37" t="s">
        <v>238</v>
      </c>
      <c r="BH100" s="37">
        <v>20</v>
      </c>
      <c r="BI100" s="37">
        <v>30</v>
      </c>
      <c r="BJ100" s="37">
        <v>30</v>
      </c>
      <c r="BK100" s="37">
        <v>30</v>
      </c>
      <c r="BL100" s="37" t="s">
        <v>11</v>
      </c>
      <c r="BM100" s="37">
        <v>16</v>
      </c>
      <c r="BN100" s="37"/>
      <c r="BT100" s="37"/>
      <c r="BU100" s="41"/>
      <c r="BV100" s="37"/>
      <c r="BW100" s="127"/>
      <c r="BX100" s="37"/>
      <c r="BY100" s="37"/>
      <c r="BZ100" s="37"/>
      <c r="CA100" s="41"/>
      <c r="GO100" s="37"/>
    </row>
    <row r="101" spans="51:197" ht="18" customHeight="1" hidden="1">
      <c r="AY101" s="20">
        <f t="shared" si="33"/>
        <v>99</v>
      </c>
      <c r="AZ101" s="315" t="s">
        <v>766</v>
      </c>
      <c r="BA101" s="38">
        <v>4</v>
      </c>
      <c r="BB101" s="38">
        <v>3</v>
      </c>
      <c r="BC101" s="38">
        <v>2</v>
      </c>
      <c r="BD101" s="38">
        <v>8</v>
      </c>
      <c r="BE101" s="40" t="s">
        <v>407</v>
      </c>
      <c r="BF101" s="37">
        <v>40000</v>
      </c>
      <c r="BG101" s="37" t="s">
        <v>239</v>
      </c>
      <c r="BH101" s="37">
        <v>20</v>
      </c>
      <c r="BI101" s="37">
        <v>30</v>
      </c>
      <c r="BJ101" s="37">
        <v>30</v>
      </c>
      <c r="BK101" s="37">
        <v>30</v>
      </c>
      <c r="BL101" s="37" t="s">
        <v>11</v>
      </c>
      <c r="BM101" s="37">
        <v>16</v>
      </c>
      <c r="BN101" s="37"/>
      <c r="BT101" s="37"/>
      <c r="BU101" s="41"/>
      <c r="BV101" s="37"/>
      <c r="BW101" s="127"/>
      <c r="BX101" s="37"/>
      <c r="BY101" s="37"/>
      <c r="BZ101" s="37"/>
      <c r="CA101" s="41"/>
      <c r="GO101" s="37"/>
    </row>
    <row r="102" spans="51:197" ht="18" customHeight="1" hidden="1">
      <c r="AY102" s="20">
        <f t="shared" si="33"/>
        <v>100</v>
      </c>
      <c r="AZ102" s="315" t="s">
        <v>765</v>
      </c>
      <c r="BA102" s="38">
        <v>7</v>
      </c>
      <c r="BB102" s="38">
        <v>3</v>
      </c>
      <c r="BC102" s="38">
        <v>3</v>
      </c>
      <c r="BD102" s="38">
        <v>7</v>
      </c>
      <c r="BE102" s="40" t="s">
        <v>363</v>
      </c>
      <c r="BF102" s="37">
        <v>70000</v>
      </c>
      <c r="BG102" s="37" t="s">
        <v>240</v>
      </c>
      <c r="BH102" s="37">
        <v>20</v>
      </c>
      <c r="BI102" s="37">
        <v>20</v>
      </c>
      <c r="BJ102" s="37">
        <v>30</v>
      </c>
      <c r="BK102" s="37">
        <v>30</v>
      </c>
      <c r="BL102" s="37" t="s">
        <v>11</v>
      </c>
      <c r="BM102" s="37">
        <v>4</v>
      </c>
      <c r="BN102" s="189"/>
      <c r="BT102" s="37"/>
      <c r="BU102" s="41"/>
      <c r="BV102" s="37"/>
      <c r="BW102" s="127"/>
      <c r="BX102" s="37"/>
      <c r="BY102" s="37"/>
      <c r="BZ102" s="37"/>
      <c r="CA102" s="41"/>
      <c r="GO102" s="189"/>
    </row>
    <row r="103" spans="51:197" ht="18" customHeight="1" hidden="1">
      <c r="AY103" s="20">
        <f t="shared" si="33"/>
        <v>101</v>
      </c>
      <c r="AZ103" s="315" t="s">
        <v>767</v>
      </c>
      <c r="BA103" s="38">
        <v>6</v>
      </c>
      <c r="BB103" s="38">
        <v>3</v>
      </c>
      <c r="BC103" s="38">
        <v>3</v>
      </c>
      <c r="BD103" s="38">
        <v>8</v>
      </c>
      <c r="BE103" s="40" t="s">
        <v>461</v>
      </c>
      <c r="BF103" s="37">
        <v>90000</v>
      </c>
      <c r="BG103" s="37" t="s">
        <v>241</v>
      </c>
      <c r="BH103" s="37">
        <v>20</v>
      </c>
      <c r="BI103" s="37">
        <v>30</v>
      </c>
      <c r="BJ103" s="37">
        <v>30</v>
      </c>
      <c r="BK103" s="37">
        <v>20</v>
      </c>
      <c r="BL103" s="37" t="s">
        <v>11</v>
      </c>
      <c r="BM103" s="37">
        <v>2</v>
      </c>
      <c r="BN103" s="189"/>
      <c r="BT103" s="37"/>
      <c r="BU103" s="41"/>
      <c r="BV103" s="37"/>
      <c r="BW103" s="127"/>
      <c r="BX103" s="37"/>
      <c r="BY103" s="37"/>
      <c r="BZ103" s="37"/>
      <c r="CA103" s="41"/>
      <c r="GO103" s="189"/>
    </row>
    <row r="104" spans="51:197" ht="18" customHeight="1" hidden="1">
      <c r="AY104" s="20">
        <f t="shared" si="33"/>
        <v>102</v>
      </c>
      <c r="AZ104" s="315" t="s">
        <v>772</v>
      </c>
      <c r="BA104" s="38">
        <v>3</v>
      </c>
      <c r="BB104" s="38">
        <v>5</v>
      </c>
      <c r="BC104" s="38">
        <v>1</v>
      </c>
      <c r="BD104" s="38">
        <v>9</v>
      </c>
      <c r="BE104" s="40" t="s">
        <v>493</v>
      </c>
      <c r="BF104" s="37">
        <v>120000</v>
      </c>
      <c r="BG104" s="37" t="s">
        <v>242</v>
      </c>
      <c r="BH104" s="37">
        <v>30</v>
      </c>
      <c r="BI104" s="37">
        <v>30</v>
      </c>
      <c r="BJ104" s="37">
        <v>30</v>
      </c>
      <c r="BK104" s="37">
        <v>20</v>
      </c>
      <c r="BL104" s="37" t="s">
        <v>11</v>
      </c>
      <c r="BM104" s="37">
        <v>2</v>
      </c>
      <c r="BN104" s="37"/>
      <c r="BT104" s="37"/>
      <c r="BU104" s="41"/>
      <c r="BV104" s="37"/>
      <c r="BW104" s="127"/>
      <c r="BX104" s="37"/>
      <c r="BY104" s="37"/>
      <c r="BZ104" s="37"/>
      <c r="CA104" s="41"/>
      <c r="GO104" s="37"/>
    </row>
    <row r="105" spans="51:197" ht="18" customHeight="1" hidden="1">
      <c r="AY105" s="20">
        <f t="shared" si="33"/>
        <v>103</v>
      </c>
      <c r="AZ105" s="315" t="s">
        <v>774</v>
      </c>
      <c r="BA105" s="38">
        <v>5</v>
      </c>
      <c r="BB105" s="38">
        <v>3</v>
      </c>
      <c r="BC105" s="38">
        <v>2</v>
      </c>
      <c r="BD105" s="38">
        <v>7</v>
      </c>
      <c r="BE105" s="40" t="s">
        <v>585</v>
      </c>
      <c r="BF105" s="37">
        <v>40000</v>
      </c>
      <c r="BG105" s="189" t="s">
        <v>334</v>
      </c>
      <c r="BH105" s="189" t="s">
        <v>11</v>
      </c>
      <c r="BI105" s="189" t="s">
        <v>11</v>
      </c>
      <c r="BJ105" s="189" t="s">
        <v>11</v>
      </c>
      <c r="BK105" s="189" t="s">
        <v>11</v>
      </c>
      <c r="BL105" s="189" t="s">
        <v>11</v>
      </c>
      <c r="BM105" s="189">
        <v>11</v>
      </c>
      <c r="BN105" s="37"/>
      <c r="BT105" s="37"/>
      <c r="BU105" s="41"/>
      <c r="BV105" s="37"/>
      <c r="BW105" s="127"/>
      <c r="BX105" s="37"/>
      <c r="BY105" s="37"/>
      <c r="BZ105" s="37"/>
      <c r="CA105" s="41"/>
      <c r="GO105" s="37"/>
    </row>
    <row r="106" spans="51:197" ht="18" customHeight="1" hidden="1">
      <c r="AY106" s="20">
        <f t="shared" si="33"/>
        <v>104</v>
      </c>
      <c r="AZ106" s="315" t="s">
        <v>770</v>
      </c>
      <c r="BA106" s="38">
        <v>4</v>
      </c>
      <c r="BB106" s="38">
        <v>3</v>
      </c>
      <c r="BC106" s="38">
        <v>2</v>
      </c>
      <c r="BD106" s="38">
        <v>8</v>
      </c>
      <c r="BE106" s="40" t="s">
        <v>260</v>
      </c>
      <c r="BF106" s="37">
        <v>40000</v>
      </c>
      <c r="BG106" s="189" t="s">
        <v>335</v>
      </c>
      <c r="BH106" s="189" t="s">
        <v>11</v>
      </c>
      <c r="BI106" s="189" t="s">
        <v>11</v>
      </c>
      <c r="BJ106" s="189" t="s">
        <v>11</v>
      </c>
      <c r="BK106" s="189" t="s">
        <v>11</v>
      </c>
      <c r="BL106" s="189" t="s">
        <v>11</v>
      </c>
      <c r="BM106" s="189">
        <v>11</v>
      </c>
      <c r="BN106" s="189"/>
      <c r="BT106" s="37"/>
      <c r="BU106" s="41"/>
      <c r="BV106" s="37"/>
      <c r="BW106" s="127"/>
      <c r="BX106" s="37"/>
      <c r="BY106" s="37"/>
      <c r="BZ106" s="37"/>
      <c r="CA106" s="41"/>
      <c r="GO106" s="189"/>
    </row>
    <row r="107" spans="51:197" ht="18" customHeight="1" hidden="1">
      <c r="AY107" s="20">
        <f t="shared" si="33"/>
        <v>105</v>
      </c>
      <c r="AZ107" s="315" t="s">
        <v>780</v>
      </c>
      <c r="BA107" s="38">
        <v>6</v>
      </c>
      <c r="BB107" s="38">
        <v>3</v>
      </c>
      <c r="BC107" s="38">
        <v>3</v>
      </c>
      <c r="BD107" s="38">
        <v>7</v>
      </c>
      <c r="BF107" s="37">
        <v>40000</v>
      </c>
      <c r="BG107" s="37" t="s">
        <v>243</v>
      </c>
      <c r="BH107" s="37">
        <v>20</v>
      </c>
      <c r="BI107" s="37">
        <v>30</v>
      </c>
      <c r="BJ107" s="37">
        <v>30</v>
      </c>
      <c r="BK107" s="37">
        <v>30</v>
      </c>
      <c r="BL107" s="37" t="s">
        <v>11</v>
      </c>
      <c r="BM107" s="37">
        <v>16</v>
      </c>
      <c r="BN107" s="23"/>
      <c r="BT107" s="37"/>
      <c r="BU107" s="41"/>
      <c r="BV107" s="37"/>
      <c r="BW107" s="127"/>
      <c r="BX107" s="37"/>
      <c r="BY107" s="37"/>
      <c r="BZ107" s="37"/>
      <c r="CA107" s="41"/>
      <c r="GO107" s="23"/>
    </row>
    <row r="108" spans="51:197" ht="18" customHeight="1" hidden="1">
      <c r="AY108" s="20">
        <f t="shared" si="33"/>
        <v>106</v>
      </c>
      <c r="AZ108" s="315" t="s">
        <v>781</v>
      </c>
      <c r="BA108" s="38">
        <v>6</v>
      </c>
      <c r="BB108" s="38">
        <v>4</v>
      </c>
      <c r="BC108" s="38">
        <v>4</v>
      </c>
      <c r="BD108" s="38">
        <v>8</v>
      </c>
      <c r="BE108" s="40" t="s">
        <v>494</v>
      </c>
      <c r="BF108" s="37">
        <v>110000</v>
      </c>
      <c r="BG108" s="37" t="s">
        <v>244</v>
      </c>
      <c r="BH108" s="37">
        <v>20</v>
      </c>
      <c r="BI108" s="37">
        <v>20</v>
      </c>
      <c r="BJ108" s="37">
        <v>30</v>
      </c>
      <c r="BK108" s="37">
        <v>20</v>
      </c>
      <c r="BL108" s="37" t="s">
        <v>11</v>
      </c>
      <c r="BM108" s="37">
        <v>6</v>
      </c>
      <c r="BN108" s="23"/>
      <c r="BT108" s="37"/>
      <c r="BU108" s="41"/>
      <c r="BV108" s="37"/>
      <c r="BW108" s="127"/>
      <c r="BX108" s="37"/>
      <c r="BY108" s="37"/>
      <c r="BZ108" s="37"/>
      <c r="CA108" s="41"/>
      <c r="GO108" s="23"/>
    </row>
    <row r="109" spans="51:197" ht="18" customHeight="1" hidden="1">
      <c r="AY109" s="20">
        <f t="shared" si="33"/>
        <v>107</v>
      </c>
      <c r="AZ109" s="33" t="s">
        <v>422</v>
      </c>
      <c r="BA109" s="38">
        <v>6</v>
      </c>
      <c r="BB109" s="38">
        <v>3</v>
      </c>
      <c r="BC109" s="38">
        <v>3</v>
      </c>
      <c r="BD109" s="38">
        <v>7</v>
      </c>
      <c r="BE109" s="40" t="s">
        <v>251</v>
      </c>
      <c r="BF109" s="37">
        <v>40000</v>
      </c>
      <c r="BG109" s="189" t="s">
        <v>332</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customHeight="1" hidden="1">
      <c r="AY110" s="20">
        <f t="shared" si="33"/>
        <v>108</v>
      </c>
      <c r="AZ110" s="317" t="s">
        <v>35</v>
      </c>
      <c r="BA110" s="22">
        <v>7</v>
      </c>
      <c r="BB110" s="22">
        <v>3</v>
      </c>
      <c r="BC110" s="22">
        <v>4</v>
      </c>
      <c r="BD110" s="22">
        <v>7</v>
      </c>
      <c r="BE110" s="39"/>
      <c r="BF110" s="23">
        <v>70000</v>
      </c>
      <c r="BG110" s="23" t="s">
        <v>245</v>
      </c>
      <c r="BH110" s="23">
        <v>20</v>
      </c>
      <c r="BI110" s="23">
        <v>20</v>
      </c>
      <c r="BJ110" s="23">
        <v>30</v>
      </c>
      <c r="BK110" s="23">
        <v>30</v>
      </c>
      <c r="BL110" s="23" t="s">
        <v>11</v>
      </c>
      <c r="BM110" s="23">
        <v>16</v>
      </c>
      <c r="BN110" s="23"/>
      <c r="BT110" s="37"/>
      <c r="BU110" s="41"/>
      <c r="BV110" s="37"/>
      <c r="BW110" s="127"/>
      <c r="BX110" s="37"/>
      <c r="BY110" s="37"/>
      <c r="BZ110" s="37"/>
      <c r="CA110" s="41"/>
      <c r="GO110" s="23"/>
    </row>
    <row r="111" spans="51:197" ht="18" customHeight="1" hidden="1">
      <c r="AY111" s="20">
        <f t="shared" si="33"/>
        <v>109</v>
      </c>
      <c r="AZ111" s="317" t="s">
        <v>37</v>
      </c>
      <c r="BA111" s="22">
        <v>7</v>
      </c>
      <c r="BB111" s="22">
        <v>3</v>
      </c>
      <c r="BC111" s="22">
        <v>4</v>
      </c>
      <c r="BD111" s="22">
        <v>7</v>
      </c>
      <c r="BE111" s="39" t="s">
        <v>79</v>
      </c>
      <c r="BF111" s="23">
        <v>90000</v>
      </c>
      <c r="BG111" s="23" t="s">
        <v>246</v>
      </c>
      <c r="BH111" s="23">
        <v>20</v>
      </c>
      <c r="BI111" s="23">
        <v>20</v>
      </c>
      <c r="BJ111" s="23">
        <v>20</v>
      </c>
      <c r="BK111" s="23">
        <v>30</v>
      </c>
      <c r="BL111" s="23" t="s">
        <v>11</v>
      </c>
      <c r="BM111" s="23">
        <v>2</v>
      </c>
      <c r="BN111" s="37"/>
      <c r="BT111" s="37"/>
      <c r="BU111" s="41"/>
      <c r="BV111" s="37"/>
      <c r="BW111" s="127"/>
      <c r="BX111" s="37"/>
      <c r="BY111" s="37"/>
      <c r="BZ111" s="37"/>
      <c r="CA111" s="41"/>
      <c r="GO111" s="23"/>
    </row>
    <row r="112" spans="51:197" ht="18" customHeight="1" hidden="1">
      <c r="AY112" s="20">
        <f t="shared" si="33"/>
        <v>110</v>
      </c>
      <c r="AZ112" s="317" t="s">
        <v>38</v>
      </c>
      <c r="BA112" s="22">
        <v>8</v>
      </c>
      <c r="BB112" s="22">
        <v>2</v>
      </c>
      <c r="BC112" s="22">
        <v>4</v>
      </c>
      <c r="BD112" s="22">
        <v>7</v>
      </c>
      <c r="BE112" s="39" t="s">
        <v>588</v>
      </c>
      <c r="BF112" s="23">
        <v>90000</v>
      </c>
      <c r="BG112" s="23" t="s">
        <v>247</v>
      </c>
      <c r="BH112" s="23">
        <v>20</v>
      </c>
      <c r="BI112" s="23">
        <v>20</v>
      </c>
      <c r="BJ112" s="23">
        <v>30</v>
      </c>
      <c r="BK112" s="23">
        <v>30</v>
      </c>
      <c r="BL112" s="23" t="s">
        <v>11</v>
      </c>
      <c r="BM112" s="23">
        <v>4</v>
      </c>
      <c r="BN112" s="189"/>
      <c r="BT112" s="37"/>
      <c r="BU112" s="41"/>
      <c r="BV112" s="37"/>
      <c r="BW112" s="127"/>
      <c r="BX112" s="37"/>
      <c r="BY112" s="37"/>
      <c r="BZ112" s="37"/>
      <c r="CA112" s="41"/>
      <c r="GO112" s="37"/>
    </row>
    <row r="113" spans="51:197" ht="18" customHeight="1" hidden="1">
      <c r="AY113" s="20">
        <f t="shared" si="33"/>
        <v>111</v>
      </c>
      <c r="AZ113" s="317" t="s">
        <v>40</v>
      </c>
      <c r="BA113" s="22">
        <v>8</v>
      </c>
      <c r="BB113" s="22">
        <v>3</v>
      </c>
      <c r="BC113" s="22">
        <v>4</v>
      </c>
      <c r="BD113" s="22">
        <v>7</v>
      </c>
      <c r="BE113" s="39" t="s">
        <v>495</v>
      </c>
      <c r="BF113" s="23">
        <v>120000</v>
      </c>
      <c r="BG113" s="23" t="s">
        <v>248</v>
      </c>
      <c r="BH113" s="23">
        <v>20</v>
      </c>
      <c r="BI113" s="23">
        <v>20</v>
      </c>
      <c r="BJ113" s="23">
        <v>30</v>
      </c>
      <c r="BK113" s="23">
        <v>30</v>
      </c>
      <c r="BL113" s="23" t="s">
        <v>11</v>
      </c>
      <c r="BM113" s="23">
        <v>2</v>
      </c>
      <c r="BN113" s="37"/>
      <c r="BT113" s="37"/>
      <c r="BU113" s="41"/>
      <c r="BV113" s="37"/>
      <c r="BW113" s="127"/>
      <c r="BX113" s="37"/>
      <c r="BY113" s="37"/>
      <c r="BZ113" s="37"/>
      <c r="CA113" s="41"/>
      <c r="GO113" s="37"/>
    </row>
    <row r="114" spans="51:197" ht="18" customHeight="1" hidden="1">
      <c r="AY114" s="20">
        <f t="shared" si="33"/>
        <v>112</v>
      </c>
      <c r="AZ114" s="315" t="s">
        <v>75</v>
      </c>
      <c r="BA114" s="38">
        <v>2</v>
      </c>
      <c r="BB114" s="38">
        <v>6</v>
      </c>
      <c r="BC114" s="38">
        <v>1</v>
      </c>
      <c r="BD114" s="38">
        <v>10</v>
      </c>
      <c r="BE114" s="40" t="s">
        <v>470</v>
      </c>
      <c r="BF114" s="37">
        <v>120000</v>
      </c>
      <c r="BG114" s="189" t="s">
        <v>333</v>
      </c>
      <c r="BH114" s="189">
        <v>30</v>
      </c>
      <c r="BI114" s="189">
        <v>30</v>
      </c>
      <c r="BJ114" s="189">
        <v>30</v>
      </c>
      <c r="BK114" s="189">
        <v>20</v>
      </c>
      <c r="BL114" s="189" t="s">
        <v>11</v>
      </c>
      <c r="BM114" s="37">
        <v>1</v>
      </c>
      <c r="BN114" s="37"/>
      <c r="BT114" s="37"/>
      <c r="BU114" s="41"/>
      <c r="BV114" s="37"/>
      <c r="BW114" s="127"/>
      <c r="BX114" s="37"/>
      <c r="BY114" s="37"/>
      <c r="BZ114" s="37"/>
      <c r="CA114" s="41"/>
      <c r="GO114" s="37"/>
    </row>
    <row r="115" spans="51:197" ht="18" customHeight="1" hidden="1">
      <c r="AY115" s="20">
        <f t="shared" si="33"/>
        <v>113</v>
      </c>
      <c r="AZ115" s="33" t="s">
        <v>269</v>
      </c>
      <c r="BA115" s="38">
        <v>7</v>
      </c>
      <c r="BB115" s="38">
        <v>3</v>
      </c>
      <c r="BC115" s="38">
        <v>4</v>
      </c>
      <c r="BD115" s="38">
        <v>7</v>
      </c>
      <c r="BE115" s="40" t="s">
        <v>251</v>
      </c>
      <c r="BF115" s="37">
        <v>70000</v>
      </c>
      <c r="BG115" s="189" t="s">
        <v>426</v>
      </c>
      <c r="BH115" s="189" t="s">
        <v>11</v>
      </c>
      <c r="BI115" s="189" t="s">
        <v>11</v>
      </c>
      <c r="BJ115" s="189" t="s">
        <v>11</v>
      </c>
      <c r="BK115" s="189" t="s">
        <v>11</v>
      </c>
      <c r="BL115" s="189" t="s">
        <v>11</v>
      </c>
      <c r="BM115" s="189">
        <v>11</v>
      </c>
      <c r="BN115" s="37"/>
      <c r="BT115" s="37"/>
      <c r="BU115" s="41"/>
      <c r="BV115" s="37"/>
      <c r="BW115" s="127"/>
      <c r="BX115" s="37"/>
      <c r="BY115" s="37"/>
      <c r="BZ115" s="37"/>
      <c r="CA115" s="41"/>
      <c r="GO115" s="37"/>
    </row>
    <row r="116" spans="51:197" ht="18" customHeight="1" hidden="1">
      <c r="AY116" s="20">
        <f t="shared" si="33"/>
        <v>114</v>
      </c>
      <c r="AZ116" s="315" t="s">
        <v>817</v>
      </c>
      <c r="BA116" s="38">
        <v>6</v>
      </c>
      <c r="BB116" s="38">
        <v>3</v>
      </c>
      <c r="BC116" s="38">
        <v>3</v>
      </c>
      <c r="BD116" s="38">
        <v>8</v>
      </c>
      <c r="BF116" s="37">
        <v>50000</v>
      </c>
      <c r="BG116" s="37" t="s">
        <v>497</v>
      </c>
      <c r="BH116" s="37">
        <v>20</v>
      </c>
      <c r="BI116" s="37">
        <v>30</v>
      </c>
      <c r="BJ116" s="37">
        <v>20</v>
      </c>
      <c r="BK116" s="37">
        <v>20</v>
      </c>
      <c r="BL116" s="37">
        <v>20</v>
      </c>
      <c r="BM116" s="37">
        <v>12</v>
      </c>
      <c r="BN116" s="37"/>
      <c r="BT116" s="37"/>
      <c r="BU116" s="41"/>
      <c r="BV116" s="37"/>
      <c r="BW116" s="127"/>
      <c r="BX116" s="37"/>
      <c r="BY116" s="37"/>
      <c r="BZ116" s="37"/>
      <c r="CA116" s="41"/>
      <c r="GO116" s="37"/>
    </row>
    <row r="117" spans="51:197" ht="18" customHeight="1" hidden="1">
      <c r="AY117" s="20">
        <f t="shared" si="33"/>
        <v>115</v>
      </c>
      <c r="AZ117" s="315" t="s">
        <v>746</v>
      </c>
      <c r="BA117" s="38">
        <v>6</v>
      </c>
      <c r="BB117" s="38">
        <v>2</v>
      </c>
      <c r="BC117" s="38">
        <v>3</v>
      </c>
      <c r="BD117" s="38">
        <v>7</v>
      </c>
      <c r="BE117" s="40" t="s">
        <v>543</v>
      </c>
      <c r="BF117" s="37">
        <v>40000</v>
      </c>
      <c r="BG117" s="37" t="s">
        <v>498</v>
      </c>
      <c r="BH117" s="37">
        <v>30</v>
      </c>
      <c r="BI117" s="37">
        <v>20</v>
      </c>
      <c r="BJ117" s="37">
        <v>30</v>
      </c>
      <c r="BK117" s="37">
        <v>30</v>
      </c>
      <c r="BL117" s="37">
        <v>20</v>
      </c>
      <c r="BM117" s="37">
        <v>1</v>
      </c>
      <c r="BN117" s="37"/>
      <c r="BT117" s="37"/>
      <c r="BU117" s="41"/>
      <c r="BV117" s="37"/>
      <c r="BW117" s="127"/>
      <c r="BX117" s="37"/>
      <c r="BY117" s="37"/>
      <c r="BZ117" s="37"/>
      <c r="CA117" s="41"/>
      <c r="GO117" s="37"/>
    </row>
    <row r="118" spans="51:197" ht="18" customHeight="1" hidden="1">
      <c r="AY118" s="20">
        <f t="shared" si="33"/>
        <v>116</v>
      </c>
      <c r="AZ118" s="315" t="s">
        <v>880</v>
      </c>
      <c r="BA118" s="38">
        <v>5</v>
      </c>
      <c r="BB118" s="38">
        <v>3</v>
      </c>
      <c r="BC118" s="38">
        <v>3</v>
      </c>
      <c r="BD118" s="38">
        <v>9</v>
      </c>
      <c r="BE118" s="40" t="s">
        <v>544</v>
      </c>
      <c r="BF118" s="37">
        <v>50000</v>
      </c>
      <c r="BG118" s="37" t="s">
        <v>499</v>
      </c>
      <c r="BH118" s="37">
        <v>20</v>
      </c>
      <c r="BI118" s="37">
        <v>30</v>
      </c>
      <c r="BJ118" s="37">
        <v>30</v>
      </c>
      <c r="BK118" s="37">
        <v>30</v>
      </c>
      <c r="BL118" s="37">
        <v>20</v>
      </c>
      <c r="BM118" s="37">
        <v>1</v>
      </c>
      <c r="BN118" s="37"/>
      <c r="BT118" s="37"/>
      <c r="BU118" s="41"/>
      <c r="BV118" s="37"/>
      <c r="BW118" s="127"/>
      <c r="BX118" s="37"/>
      <c r="BY118" s="37"/>
      <c r="BZ118" s="37"/>
      <c r="CA118" s="41"/>
      <c r="GO118" s="37"/>
    </row>
    <row r="119" spans="51:197" ht="18" customHeight="1" hidden="1">
      <c r="AY119" s="20">
        <f t="shared" si="33"/>
        <v>117</v>
      </c>
      <c r="AZ119" s="315" t="s">
        <v>818</v>
      </c>
      <c r="BA119" s="38">
        <v>7</v>
      </c>
      <c r="BB119" s="38">
        <v>3</v>
      </c>
      <c r="BC119" s="38">
        <v>3</v>
      </c>
      <c r="BD119" s="38">
        <v>7</v>
      </c>
      <c r="BE119" s="40" t="s">
        <v>544</v>
      </c>
      <c r="BF119" s="37">
        <v>50000</v>
      </c>
      <c r="BG119" s="37" t="s">
        <v>500</v>
      </c>
      <c r="BH119" s="37">
        <v>20</v>
      </c>
      <c r="BI119" s="37">
        <v>30</v>
      </c>
      <c r="BJ119" s="37">
        <v>30</v>
      </c>
      <c r="BK119" s="37">
        <v>30</v>
      </c>
      <c r="BL119" s="37">
        <v>20</v>
      </c>
      <c r="BM119" s="37">
        <v>1</v>
      </c>
      <c r="BN119" s="37"/>
      <c r="BT119" s="37"/>
      <c r="BU119" s="41"/>
      <c r="BV119" s="37"/>
      <c r="BW119" s="127"/>
      <c r="BX119" s="37"/>
      <c r="BY119" s="37"/>
      <c r="BZ119" s="37"/>
      <c r="CA119" s="41"/>
      <c r="GO119" s="37"/>
    </row>
    <row r="120" spans="51:197" ht="18" customHeight="1" hidden="1">
      <c r="AY120" s="20">
        <f t="shared" si="33"/>
        <v>118</v>
      </c>
      <c r="AZ120" s="315" t="s">
        <v>819</v>
      </c>
      <c r="BA120" s="38">
        <v>6</v>
      </c>
      <c r="BB120" s="38">
        <v>3</v>
      </c>
      <c r="BC120" s="38">
        <v>4</v>
      </c>
      <c r="BD120" s="38">
        <v>8</v>
      </c>
      <c r="BE120" s="40" t="s">
        <v>544</v>
      </c>
      <c r="BF120" s="37">
        <v>70000</v>
      </c>
      <c r="BG120" s="37" t="s">
        <v>501</v>
      </c>
      <c r="BH120" s="37">
        <v>20</v>
      </c>
      <c r="BI120" s="37">
        <v>20</v>
      </c>
      <c r="BJ120" s="37">
        <v>30</v>
      </c>
      <c r="BK120" s="37">
        <v>30</v>
      </c>
      <c r="BL120" s="37">
        <v>20</v>
      </c>
      <c r="BM120" s="37">
        <v>1</v>
      </c>
      <c r="BN120" s="37"/>
      <c r="BT120" s="37"/>
      <c r="BU120" s="41"/>
      <c r="BV120" s="37"/>
      <c r="BW120" s="127"/>
      <c r="BX120" s="37"/>
      <c r="BY120" s="37"/>
      <c r="BZ120" s="37"/>
      <c r="CA120" s="41"/>
      <c r="GO120" s="37"/>
    </row>
    <row r="121" spans="51:197" ht="18" customHeight="1" hidden="1">
      <c r="AY121" s="20">
        <f t="shared" si="33"/>
        <v>119</v>
      </c>
      <c r="AZ121" s="317" t="s">
        <v>747</v>
      </c>
      <c r="BA121" s="38">
        <v>4</v>
      </c>
      <c r="BB121" s="38">
        <v>5</v>
      </c>
      <c r="BC121" s="38">
        <v>1</v>
      </c>
      <c r="BD121" s="38">
        <v>9</v>
      </c>
      <c r="BE121" s="40" t="s">
        <v>469</v>
      </c>
      <c r="BF121" s="37">
        <v>110000</v>
      </c>
      <c r="BG121" s="37" t="s">
        <v>502</v>
      </c>
      <c r="BH121" s="37">
        <v>30</v>
      </c>
      <c r="BI121" s="37">
        <v>30</v>
      </c>
      <c r="BJ121" s="37">
        <v>30</v>
      </c>
      <c r="BK121" s="37">
        <v>20</v>
      </c>
      <c r="BL121" s="37">
        <v>30</v>
      </c>
      <c r="BM121" s="37">
        <v>1</v>
      </c>
      <c r="BN121" s="37"/>
      <c r="BT121" s="37"/>
      <c r="BU121" s="41"/>
      <c r="BV121" s="37"/>
      <c r="BW121" s="127"/>
      <c r="BX121" s="37"/>
      <c r="BY121" s="37"/>
      <c r="BZ121" s="37"/>
      <c r="CA121" s="41"/>
      <c r="GO121" s="37"/>
    </row>
    <row r="122" spans="51:197" ht="18" customHeight="1" hidden="1">
      <c r="AY122" s="20">
        <f t="shared" si="33"/>
        <v>120</v>
      </c>
      <c r="AZ122" s="317" t="s">
        <v>748</v>
      </c>
      <c r="BA122" s="38">
        <v>5</v>
      </c>
      <c r="BB122" s="38">
        <v>5</v>
      </c>
      <c r="BC122" s="38">
        <v>2</v>
      </c>
      <c r="BD122" s="38">
        <v>9</v>
      </c>
      <c r="BE122" s="40" t="s">
        <v>545</v>
      </c>
      <c r="BF122" s="37">
        <v>140000</v>
      </c>
      <c r="BG122" s="37" t="s">
        <v>503</v>
      </c>
      <c r="BH122" s="37">
        <v>30</v>
      </c>
      <c r="BI122" s="37">
        <v>30</v>
      </c>
      <c r="BJ122" s="37">
        <v>30</v>
      </c>
      <c r="BK122" s="37">
        <v>20</v>
      </c>
      <c r="BL122" s="37">
        <v>30</v>
      </c>
      <c r="BM122" s="37">
        <v>1</v>
      </c>
      <c r="BN122" s="37"/>
      <c r="BT122" s="37"/>
      <c r="BU122" s="41"/>
      <c r="BV122" s="37"/>
      <c r="BW122" s="127"/>
      <c r="BX122" s="37"/>
      <c r="BY122" s="37"/>
      <c r="BZ122" s="37"/>
      <c r="CA122" s="41"/>
      <c r="GO122" s="37"/>
    </row>
    <row r="123" spans="51:197" ht="18" customHeight="1" hidden="1">
      <c r="AY123" s="20">
        <f t="shared" si="33"/>
        <v>121</v>
      </c>
      <c r="AZ123" s="317" t="s">
        <v>749</v>
      </c>
      <c r="BA123" s="38">
        <v>5</v>
      </c>
      <c r="BB123" s="38">
        <v>5</v>
      </c>
      <c r="BC123" s="38">
        <v>2</v>
      </c>
      <c r="BD123" s="38">
        <v>8</v>
      </c>
      <c r="BE123" s="40" t="s">
        <v>480</v>
      </c>
      <c r="BF123" s="37">
        <v>150000</v>
      </c>
      <c r="BG123" s="37" t="s">
        <v>542</v>
      </c>
      <c r="BH123" s="37">
        <v>30</v>
      </c>
      <c r="BI123" s="37">
        <v>30</v>
      </c>
      <c r="BJ123" s="37">
        <v>30</v>
      </c>
      <c r="BK123" s="37">
        <v>20</v>
      </c>
      <c r="BL123" s="37">
        <v>30</v>
      </c>
      <c r="BM123" s="37">
        <v>1</v>
      </c>
      <c r="BN123" s="37"/>
      <c r="BT123" s="37"/>
      <c r="BU123" s="41"/>
      <c r="BV123" s="37"/>
      <c r="BW123" s="127"/>
      <c r="BX123" s="37"/>
      <c r="BY123" s="37"/>
      <c r="BZ123" s="37"/>
      <c r="CA123" s="41"/>
      <c r="GO123" s="37"/>
    </row>
    <row r="124" spans="51:197" ht="18" customHeight="1" hidden="1">
      <c r="AY124" s="20">
        <f t="shared" si="33"/>
        <v>122</v>
      </c>
      <c r="AZ124" s="33" t="s">
        <v>745</v>
      </c>
      <c r="BA124" s="38">
        <v>6</v>
      </c>
      <c r="BB124" s="38">
        <v>3</v>
      </c>
      <c r="BC124" s="38">
        <v>3</v>
      </c>
      <c r="BD124" s="38">
        <v>8</v>
      </c>
      <c r="BE124" s="40" t="s">
        <v>251</v>
      </c>
      <c r="BF124" s="37">
        <v>50000</v>
      </c>
      <c r="BG124" s="37" t="s">
        <v>881</v>
      </c>
      <c r="BH124" s="37" t="s">
        <v>11</v>
      </c>
      <c r="BI124" s="37" t="s">
        <v>11</v>
      </c>
      <c r="BJ124" s="37" t="s">
        <v>11</v>
      </c>
      <c r="BK124" s="37" t="s">
        <v>11</v>
      </c>
      <c r="BL124" s="37" t="s">
        <v>11</v>
      </c>
      <c r="BM124" s="37">
        <v>11</v>
      </c>
      <c r="BN124" s="37"/>
      <c r="BT124" s="37"/>
      <c r="BU124" s="41"/>
      <c r="BV124" s="37"/>
      <c r="BW124" s="127"/>
      <c r="BX124" s="37"/>
      <c r="BY124" s="37"/>
      <c r="BZ124" s="37"/>
      <c r="CA124" s="41"/>
      <c r="GO124" s="37"/>
    </row>
    <row r="125" spans="51:197" ht="18" customHeight="1" hidden="1">
      <c r="AY125" s="20">
        <f t="shared" si="33"/>
        <v>123</v>
      </c>
      <c r="AZ125" s="338" t="s">
        <v>504</v>
      </c>
      <c r="BA125" s="38">
        <v>6</v>
      </c>
      <c r="BB125" s="38">
        <v>3</v>
      </c>
      <c r="BC125" s="38">
        <v>3</v>
      </c>
      <c r="BD125" s="38">
        <v>8</v>
      </c>
      <c r="BE125" s="40" t="s">
        <v>546</v>
      </c>
      <c r="BF125" s="37">
        <v>60000</v>
      </c>
      <c r="BG125" s="37" t="s">
        <v>508</v>
      </c>
      <c r="BH125" s="37">
        <v>20</v>
      </c>
      <c r="BI125" s="37">
        <v>30</v>
      </c>
      <c r="BJ125" s="37">
        <v>30</v>
      </c>
      <c r="BK125" s="37">
        <v>30</v>
      </c>
      <c r="BL125" s="37" t="s">
        <v>11</v>
      </c>
      <c r="BM125" s="37">
        <v>16</v>
      </c>
      <c r="BN125" s="37"/>
      <c r="BT125" s="37"/>
      <c r="BU125" s="41"/>
      <c r="BV125" s="37"/>
      <c r="BW125" s="127"/>
      <c r="BX125" s="37"/>
      <c r="BY125" s="37"/>
      <c r="BZ125" s="37"/>
      <c r="CA125" s="41"/>
      <c r="GO125" s="37"/>
    </row>
    <row r="126" spans="51:197" ht="18" customHeight="1" hidden="1">
      <c r="AY126" s="20">
        <f t="shared" si="33"/>
        <v>124</v>
      </c>
      <c r="AZ126" s="338" t="s">
        <v>505</v>
      </c>
      <c r="BA126" s="38">
        <v>7</v>
      </c>
      <c r="BB126" s="38">
        <v>2</v>
      </c>
      <c r="BC126" s="38">
        <v>4</v>
      </c>
      <c r="BD126" s="38">
        <v>7</v>
      </c>
      <c r="BE126" s="40" t="s">
        <v>547</v>
      </c>
      <c r="BF126" s="37">
        <v>80000</v>
      </c>
      <c r="BG126" s="37" t="s">
        <v>509</v>
      </c>
      <c r="BH126" s="37">
        <v>20</v>
      </c>
      <c r="BI126" s="37">
        <v>20</v>
      </c>
      <c r="BJ126" s="37">
        <v>30</v>
      </c>
      <c r="BK126" s="37">
        <v>30</v>
      </c>
      <c r="BL126" s="37" t="s">
        <v>11</v>
      </c>
      <c r="BM126" s="37">
        <v>4</v>
      </c>
      <c r="BN126" s="37"/>
      <c r="BT126" s="37"/>
      <c r="BU126" s="41"/>
      <c r="BV126" s="37"/>
      <c r="BW126" s="127"/>
      <c r="BX126" s="37"/>
      <c r="BY126" s="37"/>
      <c r="BZ126" s="37"/>
      <c r="CA126" s="41"/>
      <c r="GO126" s="37"/>
    </row>
    <row r="127" spans="51:197" ht="18" customHeight="1" hidden="1">
      <c r="AY127" s="20">
        <f t="shared" si="33"/>
        <v>125</v>
      </c>
      <c r="AZ127" s="338" t="s">
        <v>506</v>
      </c>
      <c r="BA127" s="38">
        <v>7</v>
      </c>
      <c r="BB127" s="38">
        <v>3</v>
      </c>
      <c r="BC127" s="38">
        <v>3</v>
      </c>
      <c r="BD127" s="38">
        <v>8</v>
      </c>
      <c r="BE127" s="40" t="s">
        <v>548</v>
      </c>
      <c r="BF127" s="37">
        <v>110000</v>
      </c>
      <c r="BG127" s="37" t="s">
        <v>510</v>
      </c>
      <c r="BH127" s="37">
        <v>20</v>
      </c>
      <c r="BI127" s="37">
        <v>20</v>
      </c>
      <c r="BJ127" s="37">
        <v>30</v>
      </c>
      <c r="BK127" s="37">
        <v>20</v>
      </c>
      <c r="BL127" s="37" t="s">
        <v>11</v>
      </c>
      <c r="BM127" s="37">
        <v>4</v>
      </c>
      <c r="BN127" s="37"/>
      <c r="BT127" s="37"/>
      <c r="BU127" s="41"/>
      <c r="BV127" s="37"/>
      <c r="BW127" s="127"/>
      <c r="BX127" s="37"/>
      <c r="BY127" s="37"/>
      <c r="BZ127" s="37"/>
      <c r="CA127" s="41"/>
      <c r="GO127" s="37"/>
    </row>
    <row r="128" spans="51:197" ht="18" customHeight="1" hidden="1">
      <c r="AY128" s="20">
        <f t="shared" si="33"/>
        <v>126</v>
      </c>
      <c r="AZ128" s="338" t="s">
        <v>73</v>
      </c>
      <c r="BA128" s="38">
        <v>6</v>
      </c>
      <c r="BB128" s="38">
        <v>5</v>
      </c>
      <c r="BC128" s="38">
        <v>1</v>
      </c>
      <c r="BD128" s="38">
        <v>9</v>
      </c>
      <c r="BE128" s="40" t="s">
        <v>549</v>
      </c>
      <c r="BF128" s="37">
        <v>140000</v>
      </c>
      <c r="BG128" s="37" t="s">
        <v>511</v>
      </c>
      <c r="BH128" s="37">
        <v>30</v>
      </c>
      <c r="BI128" s="37">
        <v>30</v>
      </c>
      <c r="BJ128" s="37">
        <v>30</v>
      </c>
      <c r="BK128" s="37">
        <v>20</v>
      </c>
      <c r="BL128" s="37" t="s">
        <v>11</v>
      </c>
      <c r="BM128" s="37">
        <v>1</v>
      </c>
      <c r="BN128" s="37"/>
      <c r="BT128" s="37"/>
      <c r="BU128" s="41"/>
      <c r="BV128" s="37"/>
      <c r="BW128" s="127"/>
      <c r="BX128" s="37"/>
      <c r="BY128" s="37"/>
      <c r="BZ128" s="37"/>
      <c r="CA128" s="41"/>
      <c r="GO128" s="37"/>
    </row>
    <row r="129" spans="51:197" ht="18" customHeight="1" hidden="1">
      <c r="AY129" s="20">
        <f t="shared" si="33"/>
        <v>127</v>
      </c>
      <c r="AZ129" s="338" t="s">
        <v>521</v>
      </c>
      <c r="BA129" s="38">
        <v>6</v>
      </c>
      <c r="BB129" s="38">
        <v>3</v>
      </c>
      <c r="BC129" s="38">
        <v>3</v>
      </c>
      <c r="BD129" s="38">
        <v>8</v>
      </c>
      <c r="BE129" s="40" t="s">
        <v>540</v>
      </c>
      <c r="BF129" s="37">
        <v>60000</v>
      </c>
      <c r="BG129" s="37" t="s">
        <v>541</v>
      </c>
      <c r="BH129" s="37" t="s">
        <v>11</v>
      </c>
      <c r="BI129" s="37" t="s">
        <v>11</v>
      </c>
      <c r="BJ129" s="37" t="s">
        <v>11</v>
      </c>
      <c r="BK129" s="37" t="s">
        <v>11</v>
      </c>
      <c r="BL129" s="37" t="s">
        <v>11</v>
      </c>
      <c r="BM129" s="37">
        <v>11</v>
      </c>
      <c r="BN129" s="37"/>
      <c r="BT129" s="37"/>
      <c r="BU129" s="41"/>
      <c r="BV129" s="37"/>
      <c r="BW129" s="127"/>
      <c r="BX129" s="37"/>
      <c r="BY129" s="37"/>
      <c r="BZ129" s="37"/>
      <c r="CA129" s="41"/>
      <c r="GO129" s="37"/>
    </row>
    <row r="130" spans="51:197" ht="18" customHeight="1" hidden="1">
      <c r="AY130" s="20">
        <f t="shared" si="33"/>
        <v>128</v>
      </c>
      <c r="AZ130" s="315" t="s">
        <v>507</v>
      </c>
      <c r="BA130" s="38">
        <v>6</v>
      </c>
      <c r="BB130" s="38">
        <v>2</v>
      </c>
      <c r="BC130" s="38">
        <v>3</v>
      </c>
      <c r="BD130" s="38">
        <v>7</v>
      </c>
      <c r="BE130" s="40" t="s">
        <v>463</v>
      </c>
      <c r="BF130" s="37">
        <v>40000</v>
      </c>
      <c r="BG130" s="37" t="s">
        <v>512</v>
      </c>
      <c r="BH130" s="37">
        <v>30</v>
      </c>
      <c r="BI130" s="37">
        <v>20</v>
      </c>
      <c r="BJ130" s="37">
        <v>30</v>
      </c>
      <c r="BK130" s="37">
        <v>30</v>
      </c>
      <c r="BL130" s="37">
        <v>20</v>
      </c>
      <c r="BM130" s="37">
        <v>12</v>
      </c>
      <c r="BN130" s="37"/>
      <c r="BT130" s="37"/>
      <c r="BU130" s="41"/>
      <c r="BV130" s="37"/>
      <c r="BW130" s="127"/>
      <c r="BX130" s="37"/>
      <c r="BY130" s="37"/>
      <c r="BZ130" s="37"/>
      <c r="CA130" s="41"/>
      <c r="GO130" s="37"/>
    </row>
    <row r="131" spans="51:197" ht="18" customHeight="1" hidden="1">
      <c r="AY131" s="20">
        <f t="shared" si="33"/>
        <v>129</v>
      </c>
      <c r="AZ131" s="315" t="s">
        <v>791</v>
      </c>
      <c r="BA131" s="38">
        <v>7</v>
      </c>
      <c r="BB131" s="38">
        <v>3</v>
      </c>
      <c r="BC131" s="38">
        <v>3</v>
      </c>
      <c r="BD131" s="38">
        <v>7</v>
      </c>
      <c r="BE131" s="40" t="s">
        <v>544</v>
      </c>
      <c r="BF131" s="37">
        <v>50000</v>
      </c>
      <c r="BG131" s="37" t="s">
        <v>513</v>
      </c>
      <c r="BH131" s="37">
        <v>20</v>
      </c>
      <c r="BI131" s="37">
        <v>30</v>
      </c>
      <c r="BJ131" s="37">
        <v>30</v>
      </c>
      <c r="BK131" s="37">
        <v>30</v>
      </c>
      <c r="BL131" s="37">
        <v>20</v>
      </c>
      <c r="BM131" s="37">
        <v>2</v>
      </c>
      <c r="BN131" s="37"/>
      <c r="BT131" s="37"/>
      <c r="BU131" s="41"/>
      <c r="BV131" s="37"/>
      <c r="BW131" s="127"/>
      <c r="BX131" s="37"/>
      <c r="BY131" s="37"/>
      <c r="BZ131" s="37"/>
      <c r="CA131" s="41"/>
      <c r="GO131" s="37"/>
    </row>
    <row r="132" spans="51:197" ht="18" customHeight="1" hidden="1">
      <c r="AY132" s="20">
        <f aca="true" t="shared" si="34" ref="AY132:AY195">IF(AZ132="","",AY131+1)</f>
        <v>130</v>
      </c>
      <c r="AZ132" s="315" t="s">
        <v>789</v>
      </c>
      <c r="BA132" s="38">
        <v>7</v>
      </c>
      <c r="BB132" s="38">
        <v>3</v>
      </c>
      <c r="BC132" s="38">
        <v>3</v>
      </c>
      <c r="BD132" s="38">
        <v>7</v>
      </c>
      <c r="BE132" s="40" t="s">
        <v>550</v>
      </c>
      <c r="BF132" s="37">
        <v>70000</v>
      </c>
      <c r="BG132" s="37" t="s">
        <v>514</v>
      </c>
      <c r="BH132" s="37">
        <v>20</v>
      </c>
      <c r="BI132" s="37">
        <v>30</v>
      </c>
      <c r="BJ132" s="37">
        <v>20</v>
      </c>
      <c r="BK132" s="37">
        <v>30</v>
      </c>
      <c r="BL132" s="37">
        <v>20</v>
      </c>
      <c r="BM132" s="37">
        <v>2</v>
      </c>
      <c r="BN132" s="37"/>
      <c r="BT132" s="37"/>
      <c r="BU132" s="41"/>
      <c r="BV132" s="37"/>
      <c r="BW132" s="127"/>
      <c r="BX132" s="37"/>
      <c r="BY132" s="37"/>
      <c r="BZ132" s="37"/>
      <c r="CA132" s="41"/>
      <c r="GO132" s="37"/>
    </row>
    <row r="133" spans="51:197" ht="18" customHeight="1" hidden="1">
      <c r="AY133" s="20">
        <f t="shared" si="34"/>
        <v>131</v>
      </c>
      <c r="AZ133" s="315" t="s">
        <v>790</v>
      </c>
      <c r="BA133" s="38">
        <v>7</v>
      </c>
      <c r="BB133" s="38">
        <v>3</v>
      </c>
      <c r="BC133" s="38">
        <v>3</v>
      </c>
      <c r="BD133" s="38">
        <v>8</v>
      </c>
      <c r="BE133" s="40" t="s">
        <v>551</v>
      </c>
      <c r="BF133" s="37">
        <v>90000</v>
      </c>
      <c r="BG133" s="37" t="s">
        <v>515</v>
      </c>
      <c r="BH133" s="37">
        <v>20</v>
      </c>
      <c r="BI133" s="37">
        <v>30</v>
      </c>
      <c r="BJ133" s="37">
        <v>30</v>
      </c>
      <c r="BK133" s="37">
        <v>20</v>
      </c>
      <c r="BL133" s="37">
        <v>20</v>
      </c>
      <c r="BM133" s="37">
        <v>2</v>
      </c>
      <c r="BN133" s="37"/>
      <c r="BT133" s="37"/>
      <c r="BU133" s="41"/>
      <c r="BV133" s="37"/>
      <c r="BW133" s="127"/>
      <c r="BX133" s="37"/>
      <c r="BY133" s="37"/>
      <c r="BZ133" s="37"/>
      <c r="CA133" s="41"/>
      <c r="GO133" s="37"/>
    </row>
    <row r="134" spans="51:197" ht="18" customHeight="1" hidden="1">
      <c r="AY134" s="20">
        <f t="shared" si="34"/>
        <v>132</v>
      </c>
      <c r="AZ134" s="315" t="s">
        <v>779</v>
      </c>
      <c r="BA134" s="38">
        <v>4</v>
      </c>
      <c r="BB134" s="38">
        <v>5</v>
      </c>
      <c r="BC134" s="38">
        <v>1</v>
      </c>
      <c r="BD134" s="38">
        <v>9</v>
      </c>
      <c r="BE134" s="40" t="s">
        <v>469</v>
      </c>
      <c r="BF134" s="37">
        <v>110000</v>
      </c>
      <c r="BG134" s="37" t="s">
        <v>516</v>
      </c>
      <c r="BH134" s="37">
        <v>30</v>
      </c>
      <c r="BI134" s="37">
        <v>30</v>
      </c>
      <c r="BJ134" s="37">
        <v>30</v>
      </c>
      <c r="BK134" s="37">
        <v>20</v>
      </c>
      <c r="BL134" s="37">
        <v>20</v>
      </c>
      <c r="BM134" s="37">
        <v>1</v>
      </c>
      <c r="BN134" s="37"/>
      <c r="BT134" s="37"/>
      <c r="BU134" s="41"/>
      <c r="BV134" s="37"/>
      <c r="BW134" s="127"/>
      <c r="BX134" s="37"/>
      <c r="BY134" s="37"/>
      <c r="BZ134" s="37"/>
      <c r="CA134" s="41"/>
      <c r="GO134" s="37"/>
    </row>
    <row r="135" spans="51:197" ht="18" customHeight="1" hidden="1">
      <c r="AY135" s="20">
        <f t="shared" si="34"/>
        <v>133</v>
      </c>
      <c r="AZ135" s="33" t="s">
        <v>523</v>
      </c>
      <c r="BA135" s="38">
        <v>6</v>
      </c>
      <c r="BB135" s="38">
        <v>2</v>
      </c>
      <c r="BC135" s="38">
        <v>3</v>
      </c>
      <c r="BD135" s="38">
        <v>7</v>
      </c>
      <c r="BE135" s="40" t="s">
        <v>256</v>
      </c>
      <c r="BF135" s="37">
        <v>40000</v>
      </c>
      <c r="BG135" s="37" t="s">
        <v>539</v>
      </c>
      <c r="BH135" s="37" t="s">
        <v>11</v>
      </c>
      <c r="BI135" s="37" t="s">
        <v>11</v>
      </c>
      <c r="BJ135" s="37" t="s">
        <v>11</v>
      </c>
      <c r="BK135" s="37" t="s">
        <v>11</v>
      </c>
      <c r="BL135" s="37" t="s">
        <v>11</v>
      </c>
      <c r="BM135" s="37">
        <v>11</v>
      </c>
      <c r="BN135" s="37"/>
      <c r="BT135" s="37"/>
      <c r="BU135" s="41"/>
      <c r="BV135" s="37"/>
      <c r="BW135" s="127"/>
      <c r="BX135" s="37"/>
      <c r="BY135" s="37"/>
      <c r="BZ135" s="37"/>
      <c r="CA135" s="41"/>
      <c r="GO135" s="37"/>
    </row>
    <row r="136" spans="51:197" ht="18" customHeight="1" hidden="1">
      <c r="AY136" s="20">
        <f t="shared" si="34"/>
        <v>134</v>
      </c>
      <c r="AZ136" s="323" t="s">
        <v>671</v>
      </c>
      <c r="BA136" s="38">
        <v>6</v>
      </c>
      <c r="BB136" s="38">
        <v>3</v>
      </c>
      <c r="BC136" s="38">
        <v>3</v>
      </c>
      <c r="BD136" s="38">
        <v>8</v>
      </c>
      <c r="BE136" s="40" t="s">
        <v>350</v>
      </c>
      <c r="BF136" s="37">
        <v>60000</v>
      </c>
      <c r="BG136" s="37" t="s">
        <v>666</v>
      </c>
      <c r="BH136" s="37">
        <v>20</v>
      </c>
      <c r="BI136" s="37">
        <v>30</v>
      </c>
      <c r="BJ136" s="37">
        <v>20</v>
      </c>
      <c r="BK136" s="37">
        <v>30</v>
      </c>
      <c r="BL136" s="37" t="s">
        <v>11</v>
      </c>
      <c r="BM136" s="37">
        <v>16</v>
      </c>
      <c r="BN136" s="37"/>
      <c r="BT136" s="37"/>
      <c r="BU136" s="41"/>
      <c r="BV136" s="37"/>
      <c r="BW136" s="127"/>
      <c r="BX136" s="37"/>
      <c r="BY136" s="37"/>
      <c r="BZ136" s="37"/>
      <c r="CA136" s="41"/>
      <c r="GO136" s="37"/>
    </row>
    <row r="137" spans="51:197" ht="18" customHeight="1" hidden="1">
      <c r="AY137" s="20">
        <f t="shared" si="34"/>
        <v>135</v>
      </c>
      <c r="AZ137" s="323" t="s">
        <v>672</v>
      </c>
      <c r="BA137" s="38">
        <v>6</v>
      </c>
      <c r="BB137" s="38">
        <v>3</v>
      </c>
      <c r="BC137" s="38">
        <v>3</v>
      </c>
      <c r="BD137" s="38">
        <v>7</v>
      </c>
      <c r="BE137" s="40" t="s">
        <v>673</v>
      </c>
      <c r="BF137" s="37">
        <v>80000</v>
      </c>
      <c r="BG137" s="37" t="s">
        <v>667</v>
      </c>
      <c r="BH137" s="37">
        <v>20</v>
      </c>
      <c r="BI137" s="37">
        <v>20</v>
      </c>
      <c r="BJ137" s="37">
        <v>30</v>
      </c>
      <c r="BK137" s="37">
        <v>20</v>
      </c>
      <c r="BL137" s="37" t="s">
        <v>11</v>
      </c>
      <c r="BM137" s="37">
        <v>4</v>
      </c>
      <c r="BN137" s="37"/>
      <c r="BT137" s="37"/>
      <c r="BU137" s="41"/>
      <c r="BV137" s="37"/>
      <c r="BW137" s="127"/>
      <c r="BX137" s="37"/>
      <c r="BY137" s="37"/>
      <c r="BZ137" s="37"/>
      <c r="CA137" s="41"/>
      <c r="GO137" s="37"/>
    </row>
    <row r="138" spans="51:197" ht="18" customHeight="1" hidden="1">
      <c r="AY138" s="20">
        <f t="shared" si="34"/>
        <v>136</v>
      </c>
      <c r="AZ138" s="323" t="s">
        <v>674</v>
      </c>
      <c r="BA138" s="38">
        <v>6</v>
      </c>
      <c r="BB138" s="38">
        <v>3</v>
      </c>
      <c r="BC138" s="38">
        <v>3</v>
      </c>
      <c r="BD138" s="38">
        <v>8</v>
      </c>
      <c r="BE138" s="40" t="s">
        <v>675</v>
      </c>
      <c r="BF138" s="37">
        <v>90000</v>
      </c>
      <c r="BG138" s="37" t="s">
        <v>668</v>
      </c>
      <c r="BH138" s="37">
        <v>20</v>
      </c>
      <c r="BI138" s="37">
        <v>30</v>
      </c>
      <c r="BJ138" s="37">
        <v>30</v>
      </c>
      <c r="BK138" s="37">
        <v>20</v>
      </c>
      <c r="BL138" s="37" t="s">
        <v>11</v>
      </c>
      <c r="BM138" s="37">
        <v>2</v>
      </c>
      <c r="BN138" s="37"/>
      <c r="BT138" s="37"/>
      <c r="BU138" s="41"/>
      <c r="BV138" s="37"/>
      <c r="BW138" s="127"/>
      <c r="BX138" s="37"/>
      <c r="BY138" s="37"/>
      <c r="BZ138" s="37"/>
      <c r="CA138" s="41"/>
      <c r="GO138" s="37"/>
    </row>
    <row r="139" spans="51:197" ht="18" customHeight="1" hidden="1">
      <c r="AY139" s="20">
        <f t="shared" si="34"/>
        <v>137</v>
      </c>
      <c r="AZ139" s="323" t="s">
        <v>676</v>
      </c>
      <c r="BA139" s="38">
        <v>6</v>
      </c>
      <c r="BB139" s="38">
        <v>5</v>
      </c>
      <c r="BC139" s="38">
        <v>1</v>
      </c>
      <c r="BD139" s="38">
        <v>9</v>
      </c>
      <c r="BE139" s="40" t="s">
        <v>677</v>
      </c>
      <c r="BF139" s="37">
        <v>180000</v>
      </c>
      <c r="BG139" s="37" t="s">
        <v>669</v>
      </c>
      <c r="BH139" s="189">
        <v>30</v>
      </c>
      <c r="BI139" s="189">
        <v>30</v>
      </c>
      <c r="BJ139" s="189">
        <v>30</v>
      </c>
      <c r="BK139" s="189">
        <v>20</v>
      </c>
      <c r="BL139" s="189" t="s">
        <v>11</v>
      </c>
      <c r="BM139" s="37">
        <v>1</v>
      </c>
      <c r="BN139" s="37"/>
      <c r="BT139" s="37"/>
      <c r="BU139" s="41"/>
      <c r="BV139" s="37"/>
      <c r="BW139" s="127"/>
      <c r="BX139" s="37"/>
      <c r="BY139" s="37"/>
      <c r="BZ139" s="37"/>
      <c r="CA139" s="41"/>
      <c r="GO139" s="37"/>
    </row>
    <row r="140" spans="51:197" ht="18" customHeight="1" hidden="1">
      <c r="AY140" s="20">
        <f t="shared" si="34"/>
        <v>138</v>
      </c>
      <c r="AZ140" s="323" t="s">
        <v>679</v>
      </c>
      <c r="BA140" s="38">
        <v>6</v>
      </c>
      <c r="BB140" s="38">
        <v>3</v>
      </c>
      <c r="BC140" s="38">
        <v>3</v>
      </c>
      <c r="BD140" s="38">
        <v>8</v>
      </c>
      <c r="BE140" s="40" t="s">
        <v>678</v>
      </c>
      <c r="BF140" s="37">
        <v>60000</v>
      </c>
      <c r="BG140" s="37" t="s">
        <v>670</v>
      </c>
      <c r="BH140" s="189" t="s">
        <v>11</v>
      </c>
      <c r="BI140" s="189" t="s">
        <v>11</v>
      </c>
      <c r="BJ140" s="189" t="s">
        <v>11</v>
      </c>
      <c r="BK140" s="189" t="s">
        <v>11</v>
      </c>
      <c r="BL140" s="189" t="s">
        <v>11</v>
      </c>
      <c r="BM140" s="189">
        <v>11</v>
      </c>
      <c r="BN140" s="37"/>
      <c r="BT140" s="37"/>
      <c r="BU140" s="41"/>
      <c r="BV140" s="37"/>
      <c r="BW140" s="127"/>
      <c r="BX140" s="37"/>
      <c r="BY140" s="37"/>
      <c r="BZ140" s="37"/>
      <c r="CA140" s="41"/>
      <c r="GO140" s="37"/>
    </row>
    <row r="141" spans="51:197" ht="18" customHeight="1" hidden="1">
      <c r="AY141" s="20">
        <f t="shared" si="34"/>
        <v>139</v>
      </c>
      <c r="AZ141" s="323" t="s">
        <v>685</v>
      </c>
      <c r="BA141" s="38">
        <v>6</v>
      </c>
      <c r="BB141" s="38">
        <v>3</v>
      </c>
      <c r="BC141" s="38">
        <v>2</v>
      </c>
      <c r="BD141" s="38">
        <v>7</v>
      </c>
      <c r="BE141" s="40" t="s">
        <v>349</v>
      </c>
      <c r="BF141" s="37">
        <v>40000</v>
      </c>
      <c r="BG141" s="37" t="s">
        <v>691</v>
      </c>
      <c r="BH141" s="189">
        <v>20</v>
      </c>
      <c r="BI141" s="189">
        <v>30</v>
      </c>
      <c r="BJ141" s="189">
        <v>30</v>
      </c>
      <c r="BK141" s="189">
        <v>30</v>
      </c>
      <c r="BL141" s="189" t="s">
        <v>11</v>
      </c>
      <c r="BM141" s="37">
        <v>16</v>
      </c>
      <c r="BN141" s="37"/>
      <c r="BT141" s="37"/>
      <c r="BU141" s="41"/>
      <c r="BV141" s="37"/>
      <c r="BW141" s="127"/>
      <c r="BX141" s="37"/>
      <c r="BY141" s="37"/>
      <c r="BZ141" s="37"/>
      <c r="CA141" s="41"/>
      <c r="GO141" s="37"/>
    </row>
    <row r="142" spans="51:197" ht="18" customHeight="1" hidden="1">
      <c r="AY142" s="20">
        <f t="shared" si="34"/>
        <v>140</v>
      </c>
      <c r="AZ142" s="323" t="s">
        <v>687</v>
      </c>
      <c r="BA142" s="38">
        <v>6</v>
      </c>
      <c r="BB142" s="38">
        <v>3</v>
      </c>
      <c r="BC142" s="38">
        <v>3</v>
      </c>
      <c r="BD142" s="38">
        <v>8</v>
      </c>
      <c r="BE142" s="40" t="s">
        <v>359</v>
      </c>
      <c r="BF142" s="37">
        <v>70000</v>
      </c>
      <c r="BG142" s="37" t="s">
        <v>692</v>
      </c>
      <c r="BH142" s="189">
        <v>20</v>
      </c>
      <c r="BI142" s="189">
        <v>30</v>
      </c>
      <c r="BJ142" s="189">
        <v>30</v>
      </c>
      <c r="BK142" s="189">
        <v>20</v>
      </c>
      <c r="BL142" s="189" t="s">
        <v>11</v>
      </c>
      <c r="BM142" s="189">
        <v>4</v>
      </c>
      <c r="BN142" s="37"/>
      <c r="BT142" s="37"/>
      <c r="BU142" s="41"/>
      <c r="BV142" s="37"/>
      <c r="BW142" s="127"/>
      <c r="BX142" s="37"/>
      <c r="BY142" s="37"/>
      <c r="BZ142" s="37"/>
      <c r="CA142" s="41"/>
      <c r="GO142" s="37"/>
    </row>
    <row r="143" spans="51:197" ht="18" customHeight="1" hidden="1">
      <c r="AY143" s="20">
        <f t="shared" si="34"/>
        <v>141</v>
      </c>
      <c r="AZ143" s="323" t="s">
        <v>686</v>
      </c>
      <c r="BA143" s="38">
        <v>7</v>
      </c>
      <c r="BB143" s="38">
        <v>3</v>
      </c>
      <c r="BC143" s="38">
        <v>3</v>
      </c>
      <c r="BD143" s="38">
        <v>8</v>
      </c>
      <c r="BE143" s="40" t="s">
        <v>689</v>
      </c>
      <c r="BF143" s="37">
        <v>110000</v>
      </c>
      <c r="BG143" s="37" t="s">
        <v>693</v>
      </c>
      <c r="BH143" s="189">
        <v>20</v>
      </c>
      <c r="BI143" s="352">
        <v>20</v>
      </c>
      <c r="BJ143" s="189">
        <v>20</v>
      </c>
      <c r="BK143" s="189">
        <v>30</v>
      </c>
      <c r="BL143" s="189" t="s">
        <v>11</v>
      </c>
      <c r="BM143" s="189">
        <v>4</v>
      </c>
      <c r="BN143" s="37"/>
      <c r="BT143" s="37"/>
      <c r="BU143" s="41"/>
      <c r="BV143" s="37"/>
      <c r="BW143" s="127"/>
      <c r="BX143" s="37"/>
      <c r="BY143" s="37"/>
      <c r="BZ143" s="37"/>
      <c r="CA143" s="41"/>
      <c r="GO143" s="37"/>
    </row>
    <row r="144" spans="51:197" ht="18" customHeight="1" hidden="1">
      <c r="AY144" s="20">
        <f t="shared" si="34"/>
        <v>142</v>
      </c>
      <c r="AZ144" s="323" t="s">
        <v>688</v>
      </c>
      <c r="BA144" s="38">
        <v>6</v>
      </c>
      <c r="BB144" s="38">
        <v>3</v>
      </c>
      <c r="BC144" s="38">
        <v>2</v>
      </c>
      <c r="BD144" s="38">
        <v>7</v>
      </c>
      <c r="BE144" s="40" t="s">
        <v>690</v>
      </c>
      <c r="BF144" s="37">
        <v>40000</v>
      </c>
      <c r="BG144" s="37" t="s">
        <v>694</v>
      </c>
      <c r="BH144" s="189" t="s">
        <v>11</v>
      </c>
      <c r="BI144" s="189" t="s">
        <v>11</v>
      </c>
      <c r="BJ144" s="189" t="s">
        <v>11</v>
      </c>
      <c r="BK144" s="189" t="s">
        <v>11</v>
      </c>
      <c r="BL144" s="189" t="s">
        <v>11</v>
      </c>
      <c r="BM144" s="189">
        <v>11</v>
      </c>
      <c r="BN144" s="37"/>
      <c r="BT144" s="37"/>
      <c r="BU144" s="41"/>
      <c r="BV144" s="37"/>
      <c r="BW144" s="127"/>
      <c r="BX144" s="37"/>
      <c r="BY144" s="37"/>
      <c r="BZ144" s="37"/>
      <c r="CA144" s="41"/>
      <c r="GO144" s="37"/>
    </row>
    <row r="145" spans="51:197" ht="18" customHeight="1" hidden="1">
      <c r="AY145" s="20">
        <f t="shared" si="34"/>
        <v>143</v>
      </c>
      <c r="AZ145" s="325" t="s">
        <v>695</v>
      </c>
      <c r="BA145" s="38">
        <v>6</v>
      </c>
      <c r="BB145" s="38">
        <v>3</v>
      </c>
      <c r="BC145" s="38">
        <v>3</v>
      </c>
      <c r="BD145" s="38">
        <v>7</v>
      </c>
      <c r="BE145" s="40" t="s">
        <v>389</v>
      </c>
      <c r="BF145" s="37">
        <v>50000</v>
      </c>
      <c r="BG145" s="37" t="s">
        <v>703</v>
      </c>
      <c r="BH145" s="189">
        <v>20</v>
      </c>
      <c r="BI145" s="189">
        <v>30</v>
      </c>
      <c r="BJ145" s="189">
        <v>30</v>
      </c>
      <c r="BK145" s="189">
        <v>30</v>
      </c>
      <c r="BL145" s="189" t="s">
        <v>11</v>
      </c>
      <c r="BM145" s="189">
        <v>16</v>
      </c>
      <c r="BN145" s="37"/>
      <c r="BT145" s="37"/>
      <c r="BU145" s="41"/>
      <c r="BV145" s="37"/>
      <c r="BW145" s="127"/>
      <c r="BX145" s="37"/>
      <c r="BY145" s="37"/>
      <c r="BZ145" s="37"/>
      <c r="CA145" s="41"/>
      <c r="GO145" s="37"/>
    </row>
    <row r="146" spans="51:197" ht="18" customHeight="1" hidden="1">
      <c r="AY146" s="20">
        <f t="shared" si="34"/>
        <v>144</v>
      </c>
      <c r="AZ146" s="325" t="s">
        <v>696</v>
      </c>
      <c r="BA146" s="38">
        <v>5</v>
      </c>
      <c r="BB146" s="38">
        <v>3</v>
      </c>
      <c r="BC146" s="38">
        <v>3</v>
      </c>
      <c r="BD146" s="38">
        <v>8</v>
      </c>
      <c r="BE146" s="40" t="s">
        <v>711</v>
      </c>
      <c r="BF146" s="37">
        <v>70000</v>
      </c>
      <c r="BG146" s="37" t="s">
        <v>704</v>
      </c>
      <c r="BH146" s="189">
        <v>20</v>
      </c>
      <c r="BI146" s="189">
        <v>30</v>
      </c>
      <c r="BJ146" s="189">
        <v>20</v>
      </c>
      <c r="BK146" s="189">
        <v>30</v>
      </c>
      <c r="BL146" s="189" t="s">
        <v>11</v>
      </c>
      <c r="BM146" s="189">
        <v>2</v>
      </c>
      <c r="BN146" s="37"/>
      <c r="BT146" s="37"/>
      <c r="BU146" s="41"/>
      <c r="BV146" s="37"/>
      <c r="BW146" s="127"/>
      <c r="BX146" s="37"/>
      <c r="BY146" s="37"/>
      <c r="BZ146" s="37"/>
      <c r="CA146" s="41"/>
      <c r="GO146" s="37"/>
    </row>
    <row r="147" spans="51:197" ht="18" customHeight="1" hidden="1">
      <c r="AY147" s="20">
        <f t="shared" si="34"/>
        <v>145</v>
      </c>
      <c r="AZ147" s="325" t="s">
        <v>697</v>
      </c>
      <c r="BA147" s="38">
        <v>7</v>
      </c>
      <c r="BB147" s="38">
        <v>3</v>
      </c>
      <c r="BC147" s="38">
        <v>3</v>
      </c>
      <c r="BD147" s="38">
        <v>7</v>
      </c>
      <c r="BE147" s="40" t="s">
        <v>712</v>
      </c>
      <c r="BF147" s="37">
        <v>80000</v>
      </c>
      <c r="BG147" s="37" t="s">
        <v>705</v>
      </c>
      <c r="BH147" s="189">
        <v>20</v>
      </c>
      <c r="BI147" s="189">
        <v>20</v>
      </c>
      <c r="BJ147" s="189">
        <v>30</v>
      </c>
      <c r="BK147" s="189">
        <v>30</v>
      </c>
      <c r="BL147" s="189" t="s">
        <v>11</v>
      </c>
      <c r="BM147" s="189">
        <v>2</v>
      </c>
      <c r="BN147" s="37"/>
      <c r="BT147" s="37"/>
      <c r="BU147" s="41"/>
      <c r="BV147" s="37"/>
      <c r="BW147" s="127"/>
      <c r="BX147" s="37"/>
      <c r="BY147" s="37"/>
      <c r="BZ147" s="37"/>
      <c r="CA147" s="41"/>
      <c r="GO147" s="37"/>
    </row>
    <row r="148" spans="51:197" ht="18" customHeight="1" hidden="1">
      <c r="AY148" s="20">
        <f t="shared" si="34"/>
        <v>146</v>
      </c>
      <c r="AZ148" s="325" t="s">
        <v>698</v>
      </c>
      <c r="BA148" s="38">
        <v>5</v>
      </c>
      <c r="BB148" s="38">
        <v>4</v>
      </c>
      <c r="BC148" s="38">
        <v>2</v>
      </c>
      <c r="BD148" s="38">
        <v>8</v>
      </c>
      <c r="BE148" s="40" t="s">
        <v>713</v>
      </c>
      <c r="BF148" s="37">
        <v>100000</v>
      </c>
      <c r="BG148" s="37" t="s">
        <v>706</v>
      </c>
      <c r="BH148" s="189">
        <v>30</v>
      </c>
      <c r="BI148" s="189">
        <v>20</v>
      </c>
      <c r="BJ148" s="189">
        <v>30</v>
      </c>
      <c r="BK148" s="189">
        <v>20</v>
      </c>
      <c r="BL148" s="189" t="s">
        <v>11</v>
      </c>
      <c r="BM148" s="189">
        <v>4</v>
      </c>
      <c r="BN148" s="37"/>
      <c r="BT148" s="37"/>
      <c r="BU148" s="41"/>
      <c r="BV148" s="37"/>
      <c r="BW148" s="127"/>
      <c r="BX148" s="37"/>
      <c r="BY148" s="37"/>
      <c r="BZ148" s="37"/>
      <c r="CA148" s="41"/>
      <c r="GO148" s="37"/>
    </row>
    <row r="149" spans="51:197" ht="18" customHeight="1" hidden="1">
      <c r="AY149" s="20">
        <f t="shared" si="34"/>
        <v>147</v>
      </c>
      <c r="AZ149" s="325" t="s">
        <v>699</v>
      </c>
      <c r="BA149" s="38">
        <v>5</v>
      </c>
      <c r="BB149" s="38">
        <v>5</v>
      </c>
      <c r="BC149" s="38">
        <v>1</v>
      </c>
      <c r="BD149" s="38">
        <v>9</v>
      </c>
      <c r="BE149" s="40" t="s">
        <v>710</v>
      </c>
      <c r="BF149" s="37">
        <v>140000</v>
      </c>
      <c r="BG149" s="37" t="s">
        <v>707</v>
      </c>
      <c r="BH149" s="189">
        <v>30</v>
      </c>
      <c r="BI149" s="189">
        <v>30</v>
      </c>
      <c r="BJ149" s="189">
        <v>30</v>
      </c>
      <c r="BK149" s="189">
        <v>20</v>
      </c>
      <c r="BL149" s="189" t="s">
        <v>11</v>
      </c>
      <c r="BM149" s="189">
        <v>1</v>
      </c>
      <c r="BN149" s="37"/>
      <c r="BT149" s="37"/>
      <c r="BU149" s="41"/>
      <c r="BV149" s="37"/>
      <c r="BW149" s="127"/>
      <c r="BX149" s="37"/>
      <c r="BY149" s="37"/>
      <c r="BZ149" s="37"/>
      <c r="CA149" s="41"/>
      <c r="GO149" s="37"/>
    </row>
    <row r="150" spans="51:197" ht="18" customHeight="1" hidden="1">
      <c r="AY150" s="20">
        <f t="shared" si="34"/>
        <v>148</v>
      </c>
      <c r="AZ150" s="325" t="s">
        <v>702</v>
      </c>
      <c r="BA150" s="38">
        <v>6</v>
      </c>
      <c r="BB150" s="38">
        <v>3</v>
      </c>
      <c r="BC150" s="38">
        <v>3</v>
      </c>
      <c r="BD150" s="38">
        <v>7</v>
      </c>
      <c r="BE150" s="40" t="s">
        <v>709</v>
      </c>
      <c r="BF150" s="37">
        <v>50000</v>
      </c>
      <c r="BG150" s="37" t="s">
        <v>708</v>
      </c>
      <c r="BH150" s="189" t="s">
        <v>11</v>
      </c>
      <c r="BI150" s="189" t="s">
        <v>11</v>
      </c>
      <c r="BJ150" s="189" t="s">
        <v>11</v>
      </c>
      <c r="BK150" s="189" t="s">
        <v>11</v>
      </c>
      <c r="BL150" s="189" t="s">
        <v>11</v>
      </c>
      <c r="BM150" s="189">
        <v>11</v>
      </c>
      <c r="BN150" s="37"/>
      <c r="BT150" s="37"/>
      <c r="BU150" s="41"/>
      <c r="BV150" s="37"/>
      <c r="BW150" s="127"/>
      <c r="BX150" s="37"/>
      <c r="BY150" s="37"/>
      <c r="BZ150" s="37"/>
      <c r="CA150" s="41"/>
      <c r="GO150" s="37"/>
    </row>
    <row r="151" spans="51:197" ht="18" customHeight="1" hidden="1">
      <c r="AY151" s="20">
        <f t="shared" si="34"/>
        <v>149</v>
      </c>
      <c r="AZ151" s="341" t="s">
        <v>829</v>
      </c>
      <c r="BA151" s="38">
        <v>6</v>
      </c>
      <c r="BB151" s="38">
        <v>3</v>
      </c>
      <c r="BC151" s="38">
        <v>3</v>
      </c>
      <c r="BD151" s="38">
        <v>8</v>
      </c>
      <c r="BE151" s="40" t="s">
        <v>349</v>
      </c>
      <c r="BF151" s="37">
        <v>70000</v>
      </c>
      <c r="BG151" s="37" t="s">
        <v>836</v>
      </c>
      <c r="BH151" s="23">
        <v>20</v>
      </c>
      <c r="BI151" s="23">
        <v>30</v>
      </c>
      <c r="BJ151" s="23">
        <v>30</v>
      </c>
      <c r="BK151" s="23">
        <v>30</v>
      </c>
      <c r="BL151" s="23" t="s">
        <v>11</v>
      </c>
      <c r="BM151" s="189">
        <v>16</v>
      </c>
      <c r="BN151" s="37"/>
      <c r="BT151" s="37"/>
      <c r="BU151" s="41"/>
      <c r="BV151" s="37"/>
      <c r="BW151" s="127"/>
      <c r="BX151" s="37"/>
      <c r="BY151" s="37"/>
      <c r="BZ151" s="37"/>
      <c r="CA151" s="41"/>
      <c r="GO151" s="37"/>
    </row>
    <row r="152" spans="51:197" ht="18" customHeight="1" hidden="1">
      <c r="AY152" s="20">
        <f t="shared" si="34"/>
        <v>150</v>
      </c>
      <c r="AZ152" s="341" t="s">
        <v>828</v>
      </c>
      <c r="BA152" s="38">
        <v>6</v>
      </c>
      <c r="BB152" s="38">
        <v>3</v>
      </c>
      <c r="BC152" s="38">
        <v>3</v>
      </c>
      <c r="BD152" s="38">
        <v>8</v>
      </c>
      <c r="BE152" s="40" t="s">
        <v>842</v>
      </c>
      <c r="BF152" s="37">
        <v>90000</v>
      </c>
      <c r="BG152" s="37" t="s">
        <v>837</v>
      </c>
      <c r="BH152" s="23">
        <v>20</v>
      </c>
      <c r="BI152" s="23">
        <v>30</v>
      </c>
      <c r="BJ152" s="23">
        <v>30</v>
      </c>
      <c r="BK152" s="23">
        <v>20</v>
      </c>
      <c r="BL152" s="23" t="s">
        <v>11</v>
      </c>
      <c r="BM152" s="189">
        <v>4</v>
      </c>
      <c r="BN152" s="37"/>
      <c r="BT152" s="37"/>
      <c r="BU152" s="41"/>
      <c r="BV152" s="37"/>
      <c r="BW152" s="127"/>
      <c r="BX152" s="37"/>
      <c r="BY152" s="37"/>
      <c r="BZ152" s="37"/>
      <c r="CA152" s="41"/>
      <c r="GO152" s="37"/>
    </row>
    <row r="153" spans="51:197" ht="18" customHeight="1" hidden="1">
      <c r="AY153" s="20">
        <f t="shared" si="34"/>
        <v>151</v>
      </c>
      <c r="AZ153" s="341" t="s">
        <v>830</v>
      </c>
      <c r="BA153" s="38">
        <v>6</v>
      </c>
      <c r="BB153" s="38">
        <v>3</v>
      </c>
      <c r="BC153" s="38">
        <v>3</v>
      </c>
      <c r="BD153" s="38">
        <v>8</v>
      </c>
      <c r="BE153" s="40" t="s">
        <v>79</v>
      </c>
      <c r="BF153" s="37">
        <v>70000</v>
      </c>
      <c r="BG153" s="37" t="s">
        <v>838</v>
      </c>
      <c r="BH153" s="23">
        <v>20</v>
      </c>
      <c r="BI153" s="23">
        <v>30</v>
      </c>
      <c r="BJ153" s="23">
        <v>20</v>
      </c>
      <c r="BK153" s="23">
        <v>30</v>
      </c>
      <c r="BL153" s="23" t="s">
        <v>11</v>
      </c>
      <c r="BM153" s="189">
        <v>4</v>
      </c>
      <c r="BN153" s="37"/>
      <c r="BT153" s="37"/>
      <c r="BU153" s="41"/>
      <c r="BV153" s="37"/>
      <c r="BW153" s="127"/>
      <c r="BX153" s="37"/>
      <c r="BY153" s="37"/>
      <c r="BZ153" s="37"/>
      <c r="CA153" s="41"/>
      <c r="GO153" s="37"/>
    </row>
    <row r="154" spans="51:197" ht="18" customHeight="1" hidden="1">
      <c r="AY154" s="20">
        <f t="shared" si="34"/>
        <v>152</v>
      </c>
      <c r="AZ154" s="341" t="s">
        <v>831</v>
      </c>
      <c r="BA154" s="38">
        <v>7</v>
      </c>
      <c r="BB154" s="38">
        <v>3</v>
      </c>
      <c r="BC154" s="38">
        <v>3</v>
      </c>
      <c r="BD154" s="38">
        <v>7</v>
      </c>
      <c r="BE154" s="40" t="s">
        <v>843</v>
      </c>
      <c r="BF154" s="37">
        <v>110000</v>
      </c>
      <c r="BG154" s="37" t="s">
        <v>839</v>
      </c>
      <c r="BH154" s="23">
        <v>20</v>
      </c>
      <c r="BI154" s="23">
        <v>20</v>
      </c>
      <c r="BJ154" s="23">
        <v>20</v>
      </c>
      <c r="BK154" s="23">
        <v>30</v>
      </c>
      <c r="BL154" s="23" t="s">
        <v>11</v>
      </c>
      <c r="BM154" s="189">
        <v>2</v>
      </c>
      <c r="BN154" s="37"/>
      <c r="BT154" s="37"/>
      <c r="BU154" s="41"/>
      <c r="BV154" s="37"/>
      <c r="BW154" s="127"/>
      <c r="BX154" s="37"/>
      <c r="BY154" s="37"/>
      <c r="BZ154" s="37"/>
      <c r="CA154" s="41"/>
      <c r="GO154" s="37"/>
    </row>
    <row r="155" spans="51:197" ht="18" customHeight="1" hidden="1">
      <c r="AY155" s="20">
        <f t="shared" si="34"/>
        <v>153</v>
      </c>
      <c r="AZ155" s="341" t="s">
        <v>844</v>
      </c>
      <c r="BA155" s="38">
        <v>5</v>
      </c>
      <c r="BB155" s="38">
        <v>5</v>
      </c>
      <c r="BC155" s="38">
        <v>2</v>
      </c>
      <c r="BD155" s="38">
        <v>9</v>
      </c>
      <c r="BE155" s="40" t="s">
        <v>462</v>
      </c>
      <c r="BF155" s="37">
        <v>140000</v>
      </c>
      <c r="BG155" s="37" t="s">
        <v>840</v>
      </c>
      <c r="BH155" s="189">
        <v>30</v>
      </c>
      <c r="BI155" s="189">
        <v>30</v>
      </c>
      <c r="BJ155" s="189">
        <v>30</v>
      </c>
      <c r="BK155" s="189">
        <v>20</v>
      </c>
      <c r="BL155" s="189" t="s">
        <v>11</v>
      </c>
      <c r="BM155" s="37">
        <v>2</v>
      </c>
      <c r="BN155" s="37"/>
      <c r="BT155" s="37"/>
      <c r="BU155" s="41"/>
      <c r="BV155" s="37"/>
      <c r="BW155" s="127"/>
      <c r="BX155" s="37"/>
      <c r="BY155" s="37"/>
      <c r="BZ155" s="37"/>
      <c r="CA155" s="41"/>
      <c r="GO155" s="37"/>
    </row>
    <row r="156" spans="51:197" ht="18" customHeight="1" hidden="1">
      <c r="AY156" s="20">
        <f t="shared" si="34"/>
        <v>154</v>
      </c>
      <c r="AZ156" s="341" t="s">
        <v>848</v>
      </c>
      <c r="BA156" s="38">
        <v>6</v>
      </c>
      <c r="BB156" s="38">
        <v>3</v>
      </c>
      <c r="BC156" s="38">
        <v>3</v>
      </c>
      <c r="BD156" s="38">
        <v>8</v>
      </c>
      <c r="BE156" s="40" t="s">
        <v>690</v>
      </c>
      <c r="BF156" s="37">
        <v>70000</v>
      </c>
      <c r="BG156" s="37" t="s">
        <v>841</v>
      </c>
      <c r="BH156" s="189" t="s">
        <v>11</v>
      </c>
      <c r="BI156" s="189" t="s">
        <v>11</v>
      </c>
      <c r="BJ156" s="189" t="s">
        <v>11</v>
      </c>
      <c r="BK156" s="189" t="s">
        <v>11</v>
      </c>
      <c r="BL156" s="189" t="s">
        <v>11</v>
      </c>
      <c r="BM156" s="189">
        <v>11</v>
      </c>
      <c r="BN156" s="37"/>
      <c r="BT156" s="37"/>
      <c r="BU156" s="41"/>
      <c r="BV156" s="37"/>
      <c r="BW156" s="127"/>
      <c r="BX156" s="37"/>
      <c r="BY156" s="37"/>
      <c r="BZ156" s="37"/>
      <c r="CA156" s="41"/>
      <c r="GO156" s="37"/>
    </row>
    <row r="157" spans="51:197" ht="18" customHeight="1" hidden="1">
      <c r="AY157" s="20">
        <f t="shared" si="34"/>
        <v>155</v>
      </c>
      <c r="AZ157" s="341" t="s">
        <v>849</v>
      </c>
      <c r="BA157" s="38">
        <v>5</v>
      </c>
      <c r="BB157" s="38">
        <v>3</v>
      </c>
      <c r="BC157" s="38">
        <v>3</v>
      </c>
      <c r="BD157" s="38">
        <v>8</v>
      </c>
      <c r="BE157" s="40" t="s">
        <v>350</v>
      </c>
      <c r="BF157" s="37">
        <v>60000</v>
      </c>
      <c r="BG157" s="37" t="s">
        <v>855</v>
      </c>
      <c r="BH157" s="189">
        <v>30</v>
      </c>
      <c r="BI157" s="189">
        <v>30</v>
      </c>
      <c r="BJ157" s="189">
        <v>30</v>
      </c>
      <c r="BK157" s="189">
        <v>20</v>
      </c>
      <c r="BL157" s="189" t="s">
        <v>11</v>
      </c>
      <c r="BM157" s="189">
        <v>16</v>
      </c>
      <c r="BN157" s="37"/>
      <c r="BT157" s="37"/>
      <c r="BU157" s="41"/>
      <c r="BV157" s="37"/>
      <c r="BW157" s="127"/>
      <c r="BX157" s="37"/>
      <c r="BY157" s="37"/>
      <c r="BZ157" s="37"/>
      <c r="CA157" s="41"/>
      <c r="GO157" s="37"/>
    </row>
    <row r="158" spans="51:197" ht="18" customHeight="1" hidden="1">
      <c r="AY158" s="20">
        <f t="shared" si="34"/>
        <v>156</v>
      </c>
      <c r="AZ158" s="341" t="s">
        <v>850</v>
      </c>
      <c r="BA158" s="38">
        <v>5</v>
      </c>
      <c r="BB158" s="38">
        <v>3</v>
      </c>
      <c r="BC158" s="38">
        <v>3</v>
      </c>
      <c r="BD158" s="38">
        <v>7</v>
      </c>
      <c r="BE158" s="40" t="s">
        <v>861</v>
      </c>
      <c r="BF158" s="37">
        <v>70000</v>
      </c>
      <c r="BG158" s="37" t="s">
        <v>856</v>
      </c>
      <c r="BH158" s="23">
        <v>20</v>
      </c>
      <c r="BI158" s="23">
        <v>30</v>
      </c>
      <c r="BJ158" s="23">
        <v>20</v>
      </c>
      <c r="BK158" s="23">
        <v>30</v>
      </c>
      <c r="BL158" s="189" t="s">
        <v>11</v>
      </c>
      <c r="BM158" s="189">
        <v>2</v>
      </c>
      <c r="BN158" s="37"/>
      <c r="BT158" s="37"/>
      <c r="BU158" s="41"/>
      <c r="BV158" s="37"/>
      <c r="BW158" s="127"/>
      <c r="BX158" s="37"/>
      <c r="BY158" s="37"/>
      <c r="BZ158" s="37"/>
      <c r="CA158" s="41"/>
      <c r="GO158" s="37"/>
    </row>
    <row r="159" spans="51:197" ht="18" customHeight="1" hidden="1">
      <c r="AY159" s="20">
        <f t="shared" si="34"/>
        <v>157</v>
      </c>
      <c r="AZ159" s="341" t="s">
        <v>852</v>
      </c>
      <c r="BA159" s="38">
        <v>4</v>
      </c>
      <c r="BB159" s="38">
        <v>4</v>
      </c>
      <c r="BC159" s="38">
        <v>2</v>
      </c>
      <c r="BD159" s="38">
        <v>8</v>
      </c>
      <c r="BE159" s="40" t="s">
        <v>383</v>
      </c>
      <c r="BF159" s="37">
        <v>80000</v>
      </c>
      <c r="BG159" s="37" t="s">
        <v>857</v>
      </c>
      <c r="BH159" s="189">
        <v>30</v>
      </c>
      <c r="BI159" s="189">
        <v>30</v>
      </c>
      <c r="BJ159" s="189">
        <v>30</v>
      </c>
      <c r="BK159" s="189">
        <v>20</v>
      </c>
      <c r="BL159" s="189" t="s">
        <v>11</v>
      </c>
      <c r="BM159" s="189">
        <v>4</v>
      </c>
      <c r="BN159" s="37"/>
      <c r="BT159" s="37"/>
      <c r="BU159" s="41"/>
      <c r="BV159" s="37"/>
      <c r="BW159" s="127"/>
      <c r="BX159" s="37"/>
      <c r="BY159" s="37"/>
      <c r="BZ159" s="37"/>
      <c r="CA159" s="41"/>
      <c r="GO159" s="37"/>
    </row>
    <row r="160" spans="51:197" ht="18" customHeight="1" hidden="1">
      <c r="AY160" s="20">
        <f t="shared" si="34"/>
        <v>158</v>
      </c>
      <c r="AZ160" s="342" t="s">
        <v>851</v>
      </c>
      <c r="BA160" s="38">
        <v>6</v>
      </c>
      <c r="BB160" s="38">
        <v>3</v>
      </c>
      <c r="BC160" s="38">
        <v>3</v>
      </c>
      <c r="BD160" s="38">
        <v>8</v>
      </c>
      <c r="BE160" s="40" t="s">
        <v>862</v>
      </c>
      <c r="BF160" s="37">
        <v>90000</v>
      </c>
      <c r="BG160" s="37" t="s">
        <v>858</v>
      </c>
      <c r="BH160" s="23">
        <v>20</v>
      </c>
      <c r="BI160" s="23">
        <v>30</v>
      </c>
      <c r="BJ160" s="23">
        <v>30</v>
      </c>
      <c r="BK160" s="23">
        <v>20</v>
      </c>
      <c r="BL160" s="189" t="s">
        <v>11</v>
      </c>
      <c r="BM160" s="189">
        <v>4</v>
      </c>
      <c r="BN160" s="37"/>
      <c r="BT160" s="37"/>
      <c r="BU160" s="41"/>
      <c r="BV160" s="37"/>
      <c r="BW160" s="127"/>
      <c r="BX160" s="37"/>
      <c r="BY160" s="37"/>
      <c r="BZ160" s="37"/>
      <c r="CA160" s="41"/>
      <c r="GO160" s="37"/>
    </row>
    <row r="161" spans="51:197" ht="18" customHeight="1" hidden="1">
      <c r="AY161" s="20">
        <f t="shared" si="34"/>
        <v>159</v>
      </c>
      <c r="AZ161" s="341" t="s">
        <v>853</v>
      </c>
      <c r="BA161" s="38">
        <v>5</v>
      </c>
      <c r="BB161" s="38">
        <v>5</v>
      </c>
      <c r="BC161" s="38">
        <v>1</v>
      </c>
      <c r="BD161" s="38">
        <v>9</v>
      </c>
      <c r="BE161" s="40" t="s">
        <v>469</v>
      </c>
      <c r="BF161" s="37">
        <v>130000</v>
      </c>
      <c r="BG161" s="37" t="s">
        <v>859</v>
      </c>
      <c r="BH161" s="189">
        <v>30</v>
      </c>
      <c r="BI161" s="189">
        <v>30</v>
      </c>
      <c r="BJ161" s="189">
        <v>30</v>
      </c>
      <c r="BK161" s="189">
        <v>20</v>
      </c>
      <c r="BL161" s="189" t="s">
        <v>11</v>
      </c>
      <c r="BM161" s="189">
        <v>1</v>
      </c>
      <c r="BN161" s="37"/>
      <c r="BT161" s="37"/>
      <c r="BU161" s="41"/>
      <c r="BV161" s="37"/>
      <c r="BW161" s="127"/>
      <c r="BX161" s="37"/>
      <c r="BY161" s="37"/>
      <c r="BZ161" s="37"/>
      <c r="CA161" s="41"/>
      <c r="GO161" s="189"/>
    </row>
    <row r="162" spans="51:197" ht="18" customHeight="1" hidden="1">
      <c r="AY162" s="20">
        <f t="shared" si="34"/>
        <v>160</v>
      </c>
      <c r="AZ162" s="341" t="s">
        <v>847</v>
      </c>
      <c r="BA162" s="38">
        <v>5</v>
      </c>
      <c r="BB162" s="38">
        <v>3</v>
      </c>
      <c r="BC162" s="38">
        <v>3</v>
      </c>
      <c r="BD162" s="38">
        <v>8</v>
      </c>
      <c r="BE162" s="40" t="s">
        <v>678</v>
      </c>
      <c r="BF162" s="37">
        <v>60000</v>
      </c>
      <c r="BG162" s="37" t="s">
        <v>860</v>
      </c>
      <c r="BH162" s="189" t="s">
        <v>11</v>
      </c>
      <c r="BI162" s="189" t="s">
        <v>11</v>
      </c>
      <c r="BJ162" s="189" t="s">
        <v>11</v>
      </c>
      <c r="BK162" s="189" t="s">
        <v>11</v>
      </c>
      <c r="BL162" s="189" t="s">
        <v>11</v>
      </c>
      <c r="BM162" s="189">
        <v>11</v>
      </c>
      <c r="BN162" s="37"/>
      <c r="BT162" s="37"/>
      <c r="BU162" s="41"/>
      <c r="BV162" s="37"/>
      <c r="BW162" s="127"/>
      <c r="BX162" s="37"/>
      <c r="BY162" s="37"/>
      <c r="BZ162" s="37"/>
      <c r="CA162" s="41"/>
      <c r="GO162" s="37"/>
    </row>
    <row r="163" spans="51:197" ht="18" customHeight="1" hidden="1">
      <c r="AY163" s="20">
        <f t="shared" si="34"/>
        <v>161</v>
      </c>
      <c r="AZ163" s="341" t="s">
        <v>914</v>
      </c>
      <c r="BA163" s="38">
        <v>6</v>
      </c>
      <c r="BB163" s="38">
        <v>3</v>
      </c>
      <c r="BC163" s="38">
        <v>3</v>
      </c>
      <c r="BD163" s="38">
        <v>7</v>
      </c>
      <c r="BE163" s="40" t="s">
        <v>388</v>
      </c>
      <c r="BF163" s="37">
        <v>50000</v>
      </c>
      <c r="BG163" s="37" t="s">
        <v>921</v>
      </c>
      <c r="BH163" s="23">
        <v>20</v>
      </c>
      <c r="BI163" s="23">
        <v>30</v>
      </c>
      <c r="BJ163" s="23">
        <v>30</v>
      </c>
      <c r="BK163" s="23">
        <v>30</v>
      </c>
      <c r="BL163" s="23">
        <v>20</v>
      </c>
      <c r="BM163" s="189">
        <v>16</v>
      </c>
      <c r="BN163" s="37"/>
      <c r="BT163" s="37"/>
      <c r="BU163" s="41"/>
      <c r="BV163" s="37"/>
      <c r="BW163" s="127"/>
      <c r="BX163" s="37"/>
      <c r="BY163" s="37"/>
      <c r="BZ163" s="37"/>
      <c r="CA163" s="41"/>
      <c r="GO163" s="37"/>
    </row>
    <row r="164" spans="51:197" ht="18" customHeight="1" hidden="1">
      <c r="AY164" s="20">
        <f t="shared" si="34"/>
        <v>162</v>
      </c>
      <c r="AZ164" s="341" t="s">
        <v>915</v>
      </c>
      <c r="BA164" s="38">
        <v>6</v>
      </c>
      <c r="BB164" s="38">
        <v>3</v>
      </c>
      <c r="BC164" s="38">
        <v>3</v>
      </c>
      <c r="BD164" s="38">
        <v>7</v>
      </c>
      <c r="BE164" s="40" t="s">
        <v>927</v>
      </c>
      <c r="BF164" s="37">
        <v>50000</v>
      </c>
      <c r="BG164" s="37" t="s">
        <v>922</v>
      </c>
      <c r="BH164" s="23">
        <v>20</v>
      </c>
      <c r="BI164" s="23">
        <v>30</v>
      </c>
      <c r="BJ164" s="23">
        <v>20</v>
      </c>
      <c r="BK164" s="23">
        <v>30</v>
      </c>
      <c r="BL164" s="23">
        <v>30</v>
      </c>
      <c r="BM164" s="189">
        <v>4</v>
      </c>
      <c r="BN164" s="37"/>
      <c r="BT164" s="37"/>
      <c r="BU164" s="41"/>
      <c r="BV164" s="37"/>
      <c r="BW164" s="127"/>
      <c r="BX164" s="37"/>
      <c r="BY164" s="37"/>
      <c r="BZ164" s="37"/>
      <c r="CA164" s="41"/>
      <c r="GO164" s="37"/>
    </row>
    <row r="165" spans="51:197" ht="18" customHeight="1" hidden="1">
      <c r="AY165" s="20">
        <f t="shared" si="34"/>
        <v>163</v>
      </c>
      <c r="AZ165" s="341" t="s">
        <v>916</v>
      </c>
      <c r="BA165" s="38">
        <v>6</v>
      </c>
      <c r="BB165" s="38">
        <v>3</v>
      </c>
      <c r="BC165" s="38">
        <v>3</v>
      </c>
      <c r="BD165" s="38">
        <v>8</v>
      </c>
      <c r="BE165" s="40" t="s">
        <v>929</v>
      </c>
      <c r="BF165" s="37">
        <v>80000</v>
      </c>
      <c r="BG165" s="37" t="s">
        <v>923</v>
      </c>
      <c r="BH165" s="23">
        <v>20</v>
      </c>
      <c r="BI165" s="23">
        <v>30</v>
      </c>
      <c r="BJ165" s="23">
        <v>30</v>
      </c>
      <c r="BK165" s="23">
        <v>20</v>
      </c>
      <c r="BL165" s="23">
        <v>30</v>
      </c>
      <c r="BM165" s="189">
        <v>2</v>
      </c>
      <c r="BN165" s="37"/>
      <c r="BT165" s="37"/>
      <c r="BU165" s="41"/>
      <c r="BV165" s="37"/>
      <c r="BW165" s="127"/>
      <c r="BX165" s="37"/>
      <c r="BY165" s="37"/>
      <c r="BZ165" s="37"/>
      <c r="CA165" s="41"/>
      <c r="GO165" s="37"/>
    </row>
    <row r="166" spans="51:197" ht="18" customHeight="1" hidden="1">
      <c r="AY166" s="20">
        <f t="shared" si="34"/>
        <v>164</v>
      </c>
      <c r="AZ166" s="342" t="s">
        <v>917</v>
      </c>
      <c r="BA166" s="38">
        <v>8</v>
      </c>
      <c r="BB166" s="38">
        <v>3</v>
      </c>
      <c r="BC166" s="38">
        <v>3</v>
      </c>
      <c r="BD166" s="38">
        <v>7</v>
      </c>
      <c r="BE166" s="40" t="s">
        <v>930</v>
      </c>
      <c r="BF166" s="37">
        <v>100000</v>
      </c>
      <c r="BG166" s="37" t="s">
        <v>924</v>
      </c>
      <c r="BH166" s="23">
        <v>20</v>
      </c>
      <c r="BI166" s="23">
        <v>20</v>
      </c>
      <c r="BJ166" s="23">
        <v>30</v>
      </c>
      <c r="BK166" s="23">
        <v>30</v>
      </c>
      <c r="BL166" s="23">
        <v>30</v>
      </c>
      <c r="BM166" s="189">
        <v>2</v>
      </c>
      <c r="BN166" s="37"/>
      <c r="BT166" s="37"/>
      <c r="BU166" s="41"/>
      <c r="BV166" s="37"/>
      <c r="BW166" s="127"/>
      <c r="BX166" s="37"/>
      <c r="BY166" s="37"/>
      <c r="BZ166" s="37"/>
      <c r="CA166" s="41"/>
      <c r="GO166" s="37"/>
    </row>
    <row r="167" spans="51:197" ht="18" customHeight="1" hidden="1">
      <c r="AY167" s="20">
        <f t="shared" si="34"/>
        <v>165</v>
      </c>
      <c r="AZ167" s="341" t="s">
        <v>76</v>
      </c>
      <c r="BA167" s="38">
        <v>6</v>
      </c>
      <c r="BB167" s="38">
        <v>5</v>
      </c>
      <c r="BC167" s="38">
        <v>2</v>
      </c>
      <c r="BD167" s="38">
        <v>8</v>
      </c>
      <c r="BE167" s="40" t="s">
        <v>492</v>
      </c>
      <c r="BF167" s="37">
        <v>150000</v>
      </c>
      <c r="BG167" s="37" t="s">
        <v>925</v>
      </c>
      <c r="BH167" s="189">
        <v>30</v>
      </c>
      <c r="BI167" s="189">
        <v>30</v>
      </c>
      <c r="BJ167" s="189">
        <v>30</v>
      </c>
      <c r="BK167" s="189">
        <v>20</v>
      </c>
      <c r="BL167" s="189">
        <v>30</v>
      </c>
      <c r="BM167" s="37">
        <v>1</v>
      </c>
      <c r="BN167" s="37"/>
      <c r="BT167" s="37"/>
      <c r="BU167" s="41"/>
      <c r="BV167" s="37"/>
      <c r="BW167" s="127"/>
      <c r="BX167" s="37"/>
      <c r="BY167" s="37"/>
      <c r="BZ167" s="37"/>
      <c r="CA167" s="41"/>
      <c r="GO167" s="37"/>
    </row>
    <row r="168" spans="51:197" ht="18" customHeight="1" hidden="1">
      <c r="AY168" s="20">
        <f t="shared" si="34"/>
        <v>166</v>
      </c>
      <c r="AZ168" s="341" t="s">
        <v>919</v>
      </c>
      <c r="BA168" s="38">
        <v>6</v>
      </c>
      <c r="BB168" s="38">
        <v>3</v>
      </c>
      <c r="BC168" s="38">
        <v>3</v>
      </c>
      <c r="BD168" s="38">
        <v>7</v>
      </c>
      <c r="BE168" s="40" t="s">
        <v>928</v>
      </c>
      <c r="BF168" s="37">
        <v>50000</v>
      </c>
      <c r="BG168" s="37" t="s">
        <v>926</v>
      </c>
      <c r="BH168" s="189" t="s">
        <v>11</v>
      </c>
      <c r="BI168" s="189" t="s">
        <v>11</v>
      </c>
      <c r="BJ168" s="189" t="s">
        <v>11</v>
      </c>
      <c r="BK168" s="189" t="s">
        <v>11</v>
      </c>
      <c r="BL168" s="189" t="s">
        <v>11</v>
      </c>
      <c r="BM168" s="189">
        <v>11</v>
      </c>
      <c r="BN168" s="37"/>
      <c r="BT168" s="37"/>
      <c r="BU168" s="41"/>
      <c r="BV168" s="37"/>
      <c r="BW168" s="127"/>
      <c r="BX168" s="37"/>
      <c r="BY168" s="37"/>
      <c r="BZ168" s="37"/>
      <c r="CA168" s="41"/>
      <c r="GO168" s="37"/>
    </row>
    <row r="169" spans="51:197" ht="18" customHeight="1" hidden="1">
      <c r="AY169" s="20">
        <f t="shared" si="34"/>
        <v>167</v>
      </c>
      <c r="AZ169" s="341" t="s">
        <v>932</v>
      </c>
      <c r="BA169" s="38">
        <v>6</v>
      </c>
      <c r="BB169" s="38">
        <v>3</v>
      </c>
      <c r="BC169" s="38">
        <v>3</v>
      </c>
      <c r="BD169" s="38">
        <v>7</v>
      </c>
      <c r="BE169" s="40" t="s">
        <v>937</v>
      </c>
      <c r="BF169" s="37">
        <v>60000</v>
      </c>
      <c r="BG169" s="37" t="s">
        <v>942</v>
      </c>
      <c r="BH169" s="189">
        <v>20</v>
      </c>
      <c r="BI169" s="189">
        <v>30</v>
      </c>
      <c r="BJ169" s="189">
        <v>30</v>
      </c>
      <c r="BK169" s="189">
        <v>30</v>
      </c>
      <c r="BL169" s="189" t="s">
        <v>11</v>
      </c>
      <c r="BM169" s="189">
        <v>16</v>
      </c>
      <c r="BN169" s="37"/>
      <c r="BT169" s="37"/>
      <c r="BU169" s="41"/>
      <c r="BV169" s="37"/>
      <c r="BW169" s="127"/>
      <c r="BX169" s="37"/>
      <c r="BY169" s="37"/>
      <c r="BZ169" s="37"/>
      <c r="CA169" s="41"/>
      <c r="GO169" s="37"/>
    </row>
    <row r="170" spans="51:197" ht="18" customHeight="1" hidden="1">
      <c r="AY170" s="20">
        <f t="shared" si="34"/>
        <v>168</v>
      </c>
      <c r="AZ170" s="341" t="s">
        <v>934</v>
      </c>
      <c r="BA170" s="38">
        <v>5</v>
      </c>
      <c r="BB170" s="38">
        <v>3</v>
      </c>
      <c r="BC170" s="38">
        <v>2</v>
      </c>
      <c r="BD170" s="38">
        <v>8</v>
      </c>
      <c r="BE170" s="40" t="s">
        <v>938</v>
      </c>
      <c r="BF170" s="37">
        <v>70000</v>
      </c>
      <c r="BG170" s="37" t="s">
        <v>943</v>
      </c>
      <c r="BH170" s="23">
        <v>20</v>
      </c>
      <c r="BI170" s="23">
        <v>30</v>
      </c>
      <c r="BJ170" s="23">
        <v>20</v>
      </c>
      <c r="BK170" s="23">
        <v>30</v>
      </c>
      <c r="BL170" s="189" t="s">
        <v>11</v>
      </c>
      <c r="BM170" s="189">
        <v>2</v>
      </c>
      <c r="BN170" s="37"/>
      <c r="BT170" s="37"/>
      <c r="BU170" s="41"/>
      <c r="BV170" s="37"/>
      <c r="BW170" s="127"/>
      <c r="BX170" s="37"/>
      <c r="BY170" s="37"/>
      <c r="BZ170" s="37"/>
      <c r="CA170" s="41"/>
      <c r="GO170" s="37"/>
    </row>
    <row r="171" spans="51:197" ht="18" customHeight="1" hidden="1">
      <c r="AY171" s="20">
        <f t="shared" si="34"/>
        <v>169</v>
      </c>
      <c r="AZ171" s="341" t="s">
        <v>55</v>
      </c>
      <c r="BA171" s="38">
        <v>5</v>
      </c>
      <c r="BB171" s="38">
        <v>3</v>
      </c>
      <c r="BC171" s="38">
        <v>2</v>
      </c>
      <c r="BD171" s="38">
        <v>8</v>
      </c>
      <c r="BE171" s="40" t="s">
        <v>940</v>
      </c>
      <c r="BF171" s="37">
        <v>90000</v>
      </c>
      <c r="BG171" s="37" t="s">
        <v>944</v>
      </c>
      <c r="BH171" s="189">
        <v>20</v>
      </c>
      <c r="BI171" s="189">
        <v>30</v>
      </c>
      <c r="BJ171" s="189">
        <v>30</v>
      </c>
      <c r="BK171" s="189">
        <v>20</v>
      </c>
      <c r="BL171" s="189" t="s">
        <v>11</v>
      </c>
      <c r="BM171" s="189">
        <v>2</v>
      </c>
      <c r="BN171" s="37"/>
      <c r="BT171" s="37"/>
      <c r="BU171" s="41"/>
      <c r="BV171" s="37"/>
      <c r="BW171" s="127"/>
      <c r="BX171" s="37"/>
      <c r="BY171" s="37"/>
      <c r="BZ171" s="37"/>
      <c r="CA171" s="41"/>
      <c r="GO171" s="37"/>
    </row>
    <row r="172" spans="51:197" ht="18" customHeight="1" hidden="1">
      <c r="AY172" s="20">
        <f t="shared" si="34"/>
        <v>170</v>
      </c>
      <c r="AZ172" s="342" t="s">
        <v>935</v>
      </c>
      <c r="BA172" s="38">
        <v>5</v>
      </c>
      <c r="BB172" s="38">
        <v>4</v>
      </c>
      <c r="BC172" s="38">
        <v>3</v>
      </c>
      <c r="BD172" s="38">
        <v>9</v>
      </c>
      <c r="BE172" s="40" t="s">
        <v>941</v>
      </c>
      <c r="BF172" s="37">
        <v>170000</v>
      </c>
      <c r="BG172" s="37" t="s">
        <v>945</v>
      </c>
      <c r="BH172" s="23">
        <v>20</v>
      </c>
      <c r="BI172" s="23">
        <v>30</v>
      </c>
      <c r="BJ172" s="23">
        <v>30</v>
      </c>
      <c r="BK172" s="23">
        <v>20</v>
      </c>
      <c r="BL172" s="189" t="s">
        <v>11</v>
      </c>
      <c r="BM172" s="189">
        <v>2</v>
      </c>
      <c r="BN172" s="37"/>
      <c r="BT172" s="37"/>
      <c r="BU172" s="41"/>
      <c r="BV172" s="37"/>
      <c r="BW172" s="127"/>
      <c r="BX172" s="37"/>
      <c r="BY172" s="37"/>
      <c r="BZ172" s="37"/>
      <c r="CA172" s="41"/>
      <c r="GO172" s="37"/>
    </row>
    <row r="173" spans="51:197" ht="18" customHeight="1" hidden="1">
      <c r="AY173" s="20">
        <f t="shared" si="34"/>
        <v>171</v>
      </c>
      <c r="AZ173" s="341" t="s">
        <v>936</v>
      </c>
      <c r="BA173" s="38">
        <v>6</v>
      </c>
      <c r="BB173" s="38">
        <v>3</v>
      </c>
      <c r="BC173" s="38">
        <v>3</v>
      </c>
      <c r="BD173" s="38">
        <v>7</v>
      </c>
      <c r="BE173" s="40" t="s">
        <v>939</v>
      </c>
      <c r="BF173" s="37">
        <v>60000</v>
      </c>
      <c r="BG173" s="37" t="s">
        <v>946</v>
      </c>
      <c r="BH173" s="189" t="s">
        <v>11</v>
      </c>
      <c r="BI173" s="189" t="s">
        <v>11</v>
      </c>
      <c r="BJ173" s="189" t="s">
        <v>11</v>
      </c>
      <c r="BK173" s="189" t="s">
        <v>11</v>
      </c>
      <c r="BL173" s="189" t="s">
        <v>11</v>
      </c>
      <c r="BM173" s="189">
        <v>11</v>
      </c>
      <c r="BN173" s="37"/>
      <c r="BT173" s="37"/>
      <c r="BU173" s="41"/>
      <c r="BV173" s="37"/>
      <c r="BW173" s="127"/>
      <c r="BX173" s="37"/>
      <c r="BY173" s="37"/>
      <c r="BZ173" s="37"/>
      <c r="CA173" s="41"/>
      <c r="GO173" s="189"/>
    </row>
    <row r="174" spans="51:197" ht="18" customHeight="1" hidden="1">
      <c r="AY174" s="20">
        <f t="shared" si="34"/>
        <v>172</v>
      </c>
      <c r="AZ174" s="354" t="s">
        <v>132</v>
      </c>
      <c r="BA174" s="355">
        <v>6</v>
      </c>
      <c r="BB174" s="355">
        <v>3</v>
      </c>
      <c r="BC174" s="355">
        <v>3</v>
      </c>
      <c r="BD174" s="355">
        <v>8</v>
      </c>
      <c r="BE174" s="356" t="s">
        <v>130</v>
      </c>
      <c r="BF174" s="357">
        <v>60000</v>
      </c>
      <c r="BG174" s="37" t="s">
        <v>270</v>
      </c>
      <c r="BH174" s="37"/>
      <c r="BI174" s="37"/>
      <c r="BJ174" s="37"/>
      <c r="BK174" s="37"/>
      <c r="BL174" s="37"/>
      <c r="BM174" s="37">
        <v>1</v>
      </c>
      <c r="BN174" s="37"/>
      <c r="BT174" s="37"/>
      <c r="BU174" s="41"/>
      <c r="BV174" s="37"/>
      <c r="BW174" s="127"/>
      <c r="BX174" s="37"/>
      <c r="BY174" s="37"/>
      <c r="BZ174" s="37"/>
      <c r="CA174" s="41"/>
      <c r="GO174" s="37"/>
    </row>
    <row r="175" spans="51:197" ht="18" customHeight="1" hidden="1">
      <c r="AY175" s="20">
        <f t="shared" si="34"/>
        <v>173</v>
      </c>
      <c r="AZ175" s="33" t="s">
        <v>552</v>
      </c>
      <c r="BA175" s="38">
        <v>6</v>
      </c>
      <c r="BB175" s="38">
        <v>5</v>
      </c>
      <c r="BC175" s="38">
        <v>2</v>
      </c>
      <c r="BD175" s="38">
        <v>9</v>
      </c>
      <c r="BE175" s="40" t="s">
        <v>553</v>
      </c>
      <c r="BF175" s="37">
        <v>290000</v>
      </c>
      <c r="BG175" s="37" t="s">
        <v>594</v>
      </c>
      <c r="BH175" s="37"/>
      <c r="BI175" s="37"/>
      <c r="BJ175" s="37"/>
      <c r="BK175" s="37"/>
      <c r="BL175" s="37"/>
      <c r="BM175" s="37">
        <v>1</v>
      </c>
      <c r="BN175" s="37"/>
      <c r="BT175" s="37"/>
      <c r="BU175" s="41"/>
      <c r="BV175" s="37"/>
      <c r="BW175" s="127"/>
      <c r="BX175" s="37"/>
      <c r="BY175" s="37"/>
      <c r="BZ175" s="37"/>
      <c r="CA175" s="41"/>
      <c r="GO175" s="37"/>
    </row>
    <row r="176" spans="51:197" ht="18" customHeight="1" hidden="1">
      <c r="AY176" s="20">
        <f t="shared" si="34"/>
        <v>174</v>
      </c>
      <c r="AZ176" s="358" t="s">
        <v>882</v>
      </c>
      <c r="BA176" s="355">
        <v>8</v>
      </c>
      <c r="BB176" s="355">
        <v>3</v>
      </c>
      <c r="BC176" s="355">
        <v>4</v>
      </c>
      <c r="BD176" s="355">
        <v>7</v>
      </c>
      <c r="BE176" s="356" t="s">
        <v>883</v>
      </c>
      <c r="BF176" s="357">
        <v>160000</v>
      </c>
      <c r="BG176" s="37" t="s">
        <v>271</v>
      </c>
      <c r="BH176" s="37"/>
      <c r="BI176" s="37"/>
      <c r="BJ176" s="37"/>
      <c r="BK176" s="37"/>
      <c r="BL176" s="37"/>
      <c r="BM176" s="37">
        <v>1</v>
      </c>
      <c r="BN176" s="37"/>
      <c r="BT176" s="37"/>
      <c r="BU176" s="41"/>
      <c r="BV176" s="37"/>
      <c r="BW176" s="127"/>
      <c r="BX176" s="37"/>
      <c r="BY176" s="37"/>
      <c r="BZ176" s="37"/>
      <c r="CA176" s="41"/>
      <c r="GO176" s="37"/>
    </row>
    <row r="177" spans="51:197" ht="18" customHeight="1" hidden="1">
      <c r="AY177" s="20">
        <f t="shared" si="34"/>
        <v>175</v>
      </c>
      <c r="AZ177" s="33" t="s">
        <v>172</v>
      </c>
      <c r="BA177" s="38">
        <v>6</v>
      </c>
      <c r="BB177" s="38">
        <v>2</v>
      </c>
      <c r="BC177" s="38">
        <v>3</v>
      </c>
      <c r="BD177" s="38">
        <v>7</v>
      </c>
      <c r="BE177" s="40" t="s">
        <v>595</v>
      </c>
      <c r="BF177" s="37">
        <v>60000</v>
      </c>
      <c r="BG177" s="37" t="s">
        <v>272</v>
      </c>
      <c r="BH177" s="37"/>
      <c r="BI177" s="37"/>
      <c r="BJ177" s="37"/>
      <c r="BK177" s="37"/>
      <c r="BL177" s="37"/>
      <c r="BM177" s="37">
        <v>1</v>
      </c>
      <c r="BN177" s="37"/>
      <c r="BT177" s="37"/>
      <c r="BU177" s="41"/>
      <c r="BV177" s="37"/>
      <c r="BW177" s="127"/>
      <c r="BX177" s="37"/>
      <c r="BY177" s="37"/>
      <c r="BZ177" s="37"/>
      <c r="CA177" s="41"/>
      <c r="GO177" s="189"/>
    </row>
    <row r="178" spans="51:197" ht="18" customHeight="1" hidden="1">
      <c r="AY178" s="20">
        <f t="shared" si="34"/>
        <v>176</v>
      </c>
      <c r="AZ178" s="33" t="s">
        <v>134</v>
      </c>
      <c r="BA178" s="38">
        <v>4</v>
      </c>
      <c r="BB178" s="38">
        <v>3</v>
      </c>
      <c r="BC178" s="38">
        <v>2</v>
      </c>
      <c r="BD178" s="38">
        <v>9</v>
      </c>
      <c r="BE178" s="40" t="s">
        <v>596</v>
      </c>
      <c r="BF178" s="37">
        <v>60000</v>
      </c>
      <c r="BG178" s="37" t="s">
        <v>273</v>
      </c>
      <c r="BH178" s="37"/>
      <c r="BI178" s="37"/>
      <c r="BJ178" s="37"/>
      <c r="BK178" s="37"/>
      <c r="BL178" s="37"/>
      <c r="BM178" s="37">
        <v>1</v>
      </c>
      <c r="BN178" s="37"/>
      <c r="BT178" s="37"/>
      <c r="BU178" s="41"/>
      <c r="BV178" s="37"/>
      <c r="BW178" s="127"/>
      <c r="BX178" s="37"/>
      <c r="BY178" s="37"/>
      <c r="BZ178" s="37"/>
      <c r="CA178" s="41"/>
      <c r="GO178" s="37"/>
    </row>
    <row r="179" spans="51:197" ht="18" customHeight="1" hidden="1">
      <c r="AY179" s="20">
        <f t="shared" si="34"/>
        <v>177</v>
      </c>
      <c r="AZ179" s="344" t="s">
        <v>918</v>
      </c>
      <c r="BA179" s="345">
        <v>6</v>
      </c>
      <c r="BB179" s="345">
        <v>5</v>
      </c>
      <c r="BC179" s="345">
        <v>4</v>
      </c>
      <c r="BD179" s="345">
        <v>9</v>
      </c>
      <c r="BE179" s="346" t="s">
        <v>920</v>
      </c>
      <c r="BF179" s="347">
        <v>200000</v>
      </c>
      <c r="BG179" s="37" t="s">
        <v>274</v>
      </c>
      <c r="BH179" s="37"/>
      <c r="BI179" s="37"/>
      <c r="BJ179" s="37"/>
      <c r="BK179" s="37"/>
      <c r="BL179" s="37"/>
      <c r="BM179" s="37">
        <v>1</v>
      </c>
      <c r="BN179" s="37"/>
      <c r="BT179" s="37"/>
      <c r="BU179" s="41"/>
      <c r="BV179" s="37"/>
      <c r="BW179" s="127"/>
      <c r="BX179" s="37"/>
      <c r="BY179" s="37"/>
      <c r="BZ179" s="37"/>
      <c r="CA179" s="41"/>
      <c r="GO179" s="37"/>
    </row>
    <row r="180" spans="51:197" ht="18" customHeight="1" hidden="1">
      <c r="AY180" s="20">
        <f t="shared" si="34"/>
        <v>178</v>
      </c>
      <c r="AZ180" s="33" t="s">
        <v>496</v>
      </c>
      <c r="BA180" s="267" t="s">
        <v>582</v>
      </c>
      <c r="BB180" s="38" t="s">
        <v>583</v>
      </c>
      <c r="BC180" s="38" t="s">
        <v>663</v>
      </c>
      <c r="BD180" s="38" t="s">
        <v>584</v>
      </c>
      <c r="BE180" s="40" t="s">
        <v>587</v>
      </c>
      <c r="BF180" s="37">
        <v>290000</v>
      </c>
      <c r="BG180" s="37" t="s">
        <v>275</v>
      </c>
      <c r="BH180" s="37"/>
      <c r="BI180" s="37"/>
      <c r="BJ180" s="37"/>
      <c r="BK180" s="37"/>
      <c r="BL180" s="37"/>
      <c r="BM180" s="37">
        <v>1</v>
      </c>
      <c r="BN180" s="37"/>
      <c r="BT180" s="37"/>
      <c r="BU180" s="41"/>
      <c r="BV180" s="37"/>
      <c r="BW180" s="127"/>
      <c r="BX180" s="37"/>
      <c r="BY180" s="37"/>
      <c r="BZ180" s="37"/>
      <c r="CA180" s="41"/>
      <c r="GO180" s="37"/>
    </row>
    <row r="181" spans="51:197" ht="18" customHeight="1" hidden="1">
      <c r="AY181" s="20">
        <f t="shared" si="34"/>
        <v>179</v>
      </c>
      <c r="AZ181" s="33" t="s">
        <v>105</v>
      </c>
      <c r="BA181" s="38">
        <v>6</v>
      </c>
      <c r="BB181" s="38">
        <v>5</v>
      </c>
      <c r="BC181" s="38">
        <v>4</v>
      </c>
      <c r="BD181" s="38">
        <v>9</v>
      </c>
      <c r="BE181" s="40" t="s">
        <v>597</v>
      </c>
      <c r="BF181" s="37">
        <v>390000</v>
      </c>
      <c r="BG181" s="37" t="s">
        <v>276</v>
      </c>
      <c r="BH181" s="37"/>
      <c r="BI181" s="37"/>
      <c r="BJ181" s="37"/>
      <c r="BK181" s="37"/>
      <c r="BL181" s="37"/>
      <c r="BM181" s="37">
        <v>1</v>
      </c>
      <c r="BN181" s="37"/>
      <c r="BT181" s="37"/>
      <c r="BU181" s="41"/>
      <c r="BV181" s="37"/>
      <c r="BW181" s="127"/>
      <c r="BX181" s="37"/>
      <c r="BY181" s="37"/>
      <c r="BZ181" s="37"/>
      <c r="CA181" s="41"/>
      <c r="GO181" s="37"/>
    </row>
    <row r="182" spans="51:197" ht="18" customHeight="1" hidden="1">
      <c r="AY182" s="20">
        <f t="shared" si="34"/>
        <v>180</v>
      </c>
      <c r="AZ182" s="33" t="s">
        <v>598</v>
      </c>
      <c r="BA182" s="38">
        <v>6</v>
      </c>
      <c r="BB182" s="38">
        <v>3</v>
      </c>
      <c r="BC182" s="38">
        <v>3</v>
      </c>
      <c r="BD182" s="38">
        <v>8</v>
      </c>
      <c r="BE182" s="40" t="s">
        <v>599</v>
      </c>
      <c r="BF182" s="37">
        <v>120000</v>
      </c>
      <c r="BG182" s="37" t="s">
        <v>277</v>
      </c>
      <c r="BH182" s="37"/>
      <c r="BI182" s="37"/>
      <c r="BJ182" s="37"/>
      <c r="BK182" s="37"/>
      <c r="BL182" s="37"/>
      <c r="BM182" s="37">
        <v>1</v>
      </c>
      <c r="BN182" s="37"/>
      <c r="BT182" s="37"/>
      <c r="BU182" s="41"/>
      <c r="BV182" s="37"/>
      <c r="BW182" s="127"/>
      <c r="BX182" s="37"/>
      <c r="BY182" s="37"/>
      <c r="BZ182" s="37"/>
      <c r="CA182" s="41"/>
      <c r="GO182" s="37"/>
    </row>
    <row r="183" spans="51:197" ht="18" customHeight="1" hidden="1">
      <c r="AY183" s="20">
        <f t="shared" si="34"/>
        <v>181</v>
      </c>
      <c r="AZ183" s="21" t="s">
        <v>96</v>
      </c>
      <c r="BA183" s="22">
        <v>2</v>
      </c>
      <c r="BB183" s="22">
        <v>7</v>
      </c>
      <c r="BC183" s="22">
        <v>1</v>
      </c>
      <c r="BD183" s="22">
        <v>10</v>
      </c>
      <c r="BE183" s="39" t="s">
        <v>135</v>
      </c>
      <c r="BF183" s="23">
        <v>300000</v>
      </c>
      <c r="BG183" s="37" t="s">
        <v>278</v>
      </c>
      <c r="BH183" s="37"/>
      <c r="BI183" s="37"/>
      <c r="BJ183" s="37"/>
      <c r="BK183" s="37"/>
      <c r="BL183" s="37"/>
      <c r="BM183" s="37">
        <v>1</v>
      </c>
      <c r="BN183" s="37"/>
      <c r="BT183" s="37"/>
      <c r="BU183" s="41"/>
      <c r="BV183" s="37"/>
      <c r="BW183" s="127"/>
      <c r="BX183" s="37"/>
      <c r="BY183" s="37"/>
      <c r="BZ183" s="37"/>
      <c r="CA183" s="41"/>
      <c r="GO183" s="189"/>
    </row>
    <row r="184" spans="51:197" ht="18" customHeight="1" hidden="1">
      <c r="AY184" s="20">
        <f t="shared" si="34"/>
        <v>182</v>
      </c>
      <c r="AZ184" s="33" t="s">
        <v>566</v>
      </c>
      <c r="BA184" s="38">
        <v>7</v>
      </c>
      <c r="BB184" s="38">
        <v>3</v>
      </c>
      <c r="BC184" s="38">
        <v>4</v>
      </c>
      <c r="BD184" s="38">
        <v>7</v>
      </c>
      <c r="BE184" s="40" t="s">
        <v>664</v>
      </c>
      <c r="BF184" s="37">
        <v>150000</v>
      </c>
      <c r="BG184" s="37" t="s">
        <v>279</v>
      </c>
      <c r="BH184" s="37"/>
      <c r="BI184" s="37"/>
      <c r="BJ184" s="37"/>
      <c r="BK184" s="37"/>
      <c r="BL184" s="37"/>
      <c r="BM184" s="37">
        <v>1</v>
      </c>
      <c r="BN184" s="37"/>
      <c r="BT184" s="37"/>
      <c r="BU184" s="41"/>
      <c r="BV184" s="37"/>
      <c r="BW184" s="127"/>
      <c r="BX184" s="37"/>
      <c r="BY184" s="37"/>
      <c r="BZ184" s="37"/>
      <c r="CA184" s="41"/>
      <c r="GO184" s="23"/>
    </row>
    <row r="185" spans="51:197" ht="18" customHeight="1" hidden="1">
      <c r="AY185" s="20">
        <f t="shared" si="34"/>
        <v>183</v>
      </c>
      <c r="AZ185" s="354" t="s">
        <v>136</v>
      </c>
      <c r="BA185" s="355">
        <v>8</v>
      </c>
      <c r="BB185" s="355">
        <v>3</v>
      </c>
      <c r="BC185" s="355">
        <v>4</v>
      </c>
      <c r="BD185" s="355">
        <v>7</v>
      </c>
      <c r="BE185" s="356" t="s">
        <v>139</v>
      </c>
      <c r="BF185" s="357">
        <v>200000</v>
      </c>
      <c r="BG185" s="37" t="s">
        <v>280</v>
      </c>
      <c r="BH185" s="37"/>
      <c r="BI185" s="37"/>
      <c r="BJ185" s="37"/>
      <c r="BK185" s="37"/>
      <c r="BL185" s="37"/>
      <c r="BM185" s="37">
        <v>1</v>
      </c>
      <c r="BN185" s="37"/>
      <c r="BT185" s="37"/>
      <c r="BU185" s="41"/>
      <c r="BV185" s="37"/>
      <c r="BW185" s="127"/>
      <c r="BX185" s="37"/>
      <c r="BY185" s="37"/>
      <c r="BZ185" s="37"/>
      <c r="CA185" s="41"/>
      <c r="GO185" s="23"/>
    </row>
    <row r="186" spans="51:197" ht="18" customHeight="1" hidden="1">
      <c r="AY186" s="20">
        <f t="shared" si="34"/>
        <v>184</v>
      </c>
      <c r="AZ186" s="33" t="s">
        <v>522</v>
      </c>
      <c r="BA186" s="38">
        <v>4</v>
      </c>
      <c r="BB186" s="38">
        <v>7</v>
      </c>
      <c r="BC186" s="38">
        <v>3</v>
      </c>
      <c r="BD186" s="38">
        <v>7</v>
      </c>
      <c r="BE186" s="40" t="s">
        <v>557</v>
      </c>
      <c r="BF186" s="37">
        <v>100000</v>
      </c>
      <c r="BG186" s="37" t="s">
        <v>281</v>
      </c>
      <c r="BH186" s="37"/>
      <c r="BI186" s="37"/>
      <c r="BJ186" s="37"/>
      <c r="BK186" s="37"/>
      <c r="BL186" s="37"/>
      <c r="BM186" s="37">
        <v>1</v>
      </c>
      <c r="BN186" s="37"/>
      <c r="BT186" s="37"/>
      <c r="BU186" s="41"/>
      <c r="BV186" s="37"/>
      <c r="BW186" s="127"/>
      <c r="BX186" s="37"/>
      <c r="BY186" s="37"/>
      <c r="BZ186" s="37"/>
      <c r="CA186" s="41"/>
      <c r="GO186" s="23"/>
    </row>
    <row r="187" spans="51:197" ht="18" customHeight="1" hidden="1">
      <c r="AY187" s="20">
        <f t="shared" si="34"/>
        <v>185</v>
      </c>
      <c r="AZ187" s="33" t="s">
        <v>137</v>
      </c>
      <c r="BA187" s="38">
        <v>5</v>
      </c>
      <c r="BB187" s="38">
        <v>3</v>
      </c>
      <c r="BC187" s="38">
        <v>2</v>
      </c>
      <c r="BD187" s="38">
        <v>8</v>
      </c>
      <c r="BE187" s="40" t="s">
        <v>600</v>
      </c>
      <c r="BF187" s="37">
        <v>130000</v>
      </c>
      <c r="BG187" s="37" t="s">
        <v>282</v>
      </c>
      <c r="BH187" s="37"/>
      <c r="BI187" s="37"/>
      <c r="BJ187" s="37"/>
      <c r="BK187" s="37"/>
      <c r="BL187" s="37"/>
      <c r="BM187" s="37">
        <v>1</v>
      </c>
      <c r="BN187" s="37"/>
      <c r="BT187" s="37"/>
      <c r="BU187" s="41"/>
      <c r="BV187" s="37"/>
      <c r="BW187" s="127"/>
      <c r="BX187" s="37"/>
      <c r="BY187" s="37"/>
      <c r="BZ187" s="37"/>
      <c r="CA187" s="41"/>
      <c r="GO187" s="23"/>
    </row>
    <row r="188" spans="51:197" ht="18" customHeight="1" hidden="1">
      <c r="AY188" s="20">
        <f t="shared" si="34"/>
        <v>186</v>
      </c>
      <c r="AZ188" s="21" t="s">
        <v>92</v>
      </c>
      <c r="BA188" s="22">
        <v>4</v>
      </c>
      <c r="BB188" s="22">
        <v>7</v>
      </c>
      <c r="BC188" s="22">
        <v>3</v>
      </c>
      <c r="BD188" s="22">
        <v>7</v>
      </c>
      <c r="BE188" s="39" t="s">
        <v>138</v>
      </c>
      <c r="BF188" s="23">
        <v>80000</v>
      </c>
      <c r="BG188" s="37" t="s">
        <v>283</v>
      </c>
      <c r="BH188" s="37"/>
      <c r="BI188" s="37"/>
      <c r="BJ188" s="37"/>
      <c r="BK188" s="37"/>
      <c r="BL188" s="37"/>
      <c r="BM188" s="37">
        <v>1</v>
      </c>
      <c r="BN188" s="37"/>
      <c r="BT188" s="37"/>
      <c r="BU188" s="41"/>
      <c r="BV188" s="37"/>
      <c r="BW188" s="127"/>
      <c r="BX188" s="37"/>
      <c r="BY188" s="37"/>
      <c r="BZ188" s="37"/>
      <c r="CA188" s="41"/>
      <c r="GO188" s="23"/>
    </row>
    <row r="189" spans="51:197" ht="18" customHeight="1" hidden="1">
      <c r="AY189" s="20">
        <f t="shared" si="34"/>
        <v>187</v>
      </c>
      <c r="AZ189" s="21" t="s">
        <v>700</v>
      </c>
      <c r="BA189" s="22">
        <v>7</v>
      </c>
      <c r="BB189" s="22">
        <v>3</v>
      </c>
      <c r="BC189" s="22">
        <v>3</v>
      </c>
      <c r="BD189" s="22">
        <v>7</v>
      </c>
      <c r="BE189" s="39" t="s">
        <v>732</v>
      </c>
      <c r="BF189" s="23">
        <v>170000</v>
      </c>
      <c r="BG189" s="37" t="s">
        <v>284</v>
      </c>
      <c r="BH189" s="37"/>
      <c r="BI189" s="37"/>
      <c r="BJ189" s="37"/>
      <c r="BK189" s="37"/>
      <c r="BL189" s="37"/>
      <c r="BM189" s="37">
        <v>1</v>
      </c>
      <c r="BN189" s="37"/>
      <c r="BT189" s="37"/>
      <c r="BU189" s="41"/>
      <c r="BV189" s="37"/>
      <c r="BW189" s="127"/>
      <c r="BX189" s="37"/>
      <c r="BY189" s="37"/>
      <c r="BZ189" s="37"/>
      <c r="CA189" s="41"/>
      <c r="GO189" s="23"/>
    </row>
    <row r="190" spans="51:197" ht="18" customHeight="1" hidden="1">
      <c r="AY190" s="20">
        <f t="shared" si="34"/>
        <v>188</v>
      </c>
      <c r="AZ190" s="359" t="s">
        <v>884</v>
      </c>
      <c r="BA190" s="360">
        <v>5</v>
      </c>
      <c r="BB190" s="360">
        <v>4</v>
      </c>
      <c r="BC190" s="360">
        <v>2</v>
      </c>
      <c r="BD190" s="360">
        <v>8</v>
      </c>
      <c r="BE190" s="361" t="s">
        <v>885</v>
      </c>
      <c r="BF190" s="362">
        <v>190000</v>
      </c>
      <c r="BG190" s="37" t="s">
        <v>285</v>
      </c>
      <c r="BH190" s="37"/>
      <c r="BI190" s="37"/>
      <c r="BJ190" s="37"/>
      <c r="BK190" s="37"/>
      <c r="BL190" s="37"/>
      <c r="BM190" s="37">
        <v>1</v>
      </c>
      <c r="BN190" s="37"/>
      <c r="BT190" s="37"/>
      <c r="BU190" s="41"/>
      <c r="BV190" s="37"/>
      <c r="BW190" s="127"/>
      <c r="BX190" s="37"/>
      <c r="BY190" s="37"/>
      <c r="BZ190" s="37"/>
      <c r="CA190" s="41"/>
      <c r="GO190" s="23"/>
    </row>
    <row r="191" spans="51:197" ht="18" customHeight="1" hidden="1">
      <c r="AY191" s="20">
        <f t="shared" si="34"/>
        <v>189</v>
      </c>
      <c r="AZ191" s="33" t="s">
        <v>567</v>
      </c>
      <c r="BA191" s="38">
        <v>7</v>
      </c>
      <c r="BB191" s="38">
        <v>4</v>
      </c>
      <c r="BC191" s="38">
        <v>3</v>
      </c>
      <c r="BD191" s="38">
        <v>8</v>
      </c>
      <c r="BE191" s="40" t="s">
        <v>558</v>
      </c>
      <c r="BF191" s="37">
        <v>210000</v>
      </c>
      <c r="BG191" s="37" t="s">
        <v>286</v>
      </c>
      <c r="BH191" s="37"/>
      <c r="BI191" s="37"/>
      <c r="BJ191" s="37"/>
      <c r="BK191" s="37"/>
      <c r="BL191" s="37"/>
      <c r="BM191" s="37">
        <v>1</v>
      </c>
      <c r="BN191" s="37"/>
      <c r="BT191" s="37"/>
      <c r="BU191" s="41"/>
      <c r="BV191" s="37"/>
      <c r="BW191" s="127"/>
      <c r="BX191" s="37"/>
      <c r="BY191" s="37"/>
      <c r="BZ191" s="37"/>
      <c r="CA191" s="41"/>
      <c r="GO191" s="189"/>
    </row>
    <row r="192" spans="51:197" ht="18" customHeight="1" hidden="1">
      <c r="AY192" s="20">
        <f t="shared" si="34"/>
        <v>190</v>
      </c>
      <c r="AZ192" s="33" t="s">
        <v>101</v>
      </c>
      <c r="BA192" s="38">
        <v>6</v>
      </c>
      <c r="BB192" s="38">
        <v>6</v>
      </c>
      <c r="BC192" s="38">
        <v>2</v>
      </c>
      <c r="BD192" s="38">
        <v>8</v>
      </c>
      <c r="BE192" s="40" t="s">
        <v>586</v>
      </c>
      <c r="BF192" s="37">
        <v>310000</v>
      </c>
      <c r="BG192" s="37" t="s">
        <v>287</v>
      </c>
      <c r="BH192" s="37"/>
      <c r="BI192" s="37"/>
      <c r="BJ192" s="37"/>
      <c r="BK192" s="37"/>
      <c r="BL192" s="37"/>
      <c r="BM192" s="37">
        <v>1</v>
      </c>
      <c r="BN192" s="37"/>
      <c r="BT192" s="37"/>
      <c r="BU192" s="41"/>
      <c r="BV192" s="37"/>
      <c r="BW192" s="127"/>
      <c r="BX192" s="37"/>
      <c r="BY192" s="37"/>
      <c r="BZ192" s="37"/>
      <c r="CA192" s="41"/>
      <c r="GO192" s="37"/>
    </row>
    <row r="193" spans="51:197" ht="18" customHeight="1" hidden="1">
      <c r="AY193" s="20">
        <f t="shared" si="34"/>
        <v>191</v>
      </c>
      <c r="AZ193" s="315" t="s">
        <v>107</v>
      </c>
      <c r="BA193" s="327">
        <v>7</v>
      </c>
      <c r="BB193" s="327">
        <v>4</v>
      </c>
      <c r="BC193" s="327">
        <v>4</v>
      </c>
      <c r="BD193" s="327">
        <v>8</v>
      </c>
      <c r="BE193" s="328" t="s">
        <v>665</v>
      </c>
      <c r="BF193" s="329">
        <v>320000</v>
      </c>
      <c r="BG193" s="37" t="s">
        <v>288</v>
      </c>
      <c r="BH193" s="37"/>
      <c r="BI193" s="37"/>
      <c r="BJ193" s="37"/>
      <c r="BK193" s="37"/>
      <c r="BL193" s="37"/>
      <c r="BM193" s="37">
        <v>1</v>
      </c>
      <c r="BN193" s="37"/>
      <c r="BT193" s="37"/>
      <c r="BU193" s="41"/>
      <c r="BV193" s="37"/>
      <c r="BW193" s="127"/>
      <c r="BX193" s="37"/>
      <c r="BY193" s="37"/>
      <c r="BZ193" s="37"/>
      <c r="CA193" s="41"/>
      <c r="GO193" s="37"/>
    </row>
    <row r="194" spans="51:197" ht="18" customHeight="1" hidden="1">
      <c r="AY194" s="20">
        <f t="shared" si="34"/>
        <v>192</v>
      </c>
      <c r="AZ194" s="315" t="s">
        <v>104</v>
      </c>
      <c r="BA194" s="327">
        <v>5</v>
      </c>
      <c r="BB194" s="327">
        <v>4</v>
      </c>
      <c r="BC194" s="327">
        <v>3</v>
      </c>
      <c r="BD194" s="327">
        <v>8</v>
      </c>
      <c r="BE194" s="328" t="s">
        <v>799</v>
      </c>
      <c r="BF194" s="329">
        <v>220000</v>
      </c>
      <c r="BG194" s="37" t="s">
        <v>289</v>
      </c>
      <c r="BH194" s="37"/>
      <c r="BI194" s="37"/>
      <c r="BJ194" s="37"/>
      <c r="BK194" s="37"/>
      <c r="BL194" s="37"/>
      <c r="BM194" s="37">
        <v>1</v>
      </c>
      <c r="BN194" s="37"/>
      <c r="BT194" s="37"/>
      <c r="BU194" s="41"/>
      <c r="BV194" s="37"/>
      <c r="BW194" s="127"/>
      <c r="BX194" s="37"/>
      <c r="BY194" s="37"/>
      <c r="BZ194" s="37"/>
      <c r="CA194" s="41"/>
      <c r="GO194" s="37"/>
    </row>
    <row r="195" spans="51:197" ht="18" customHeight="1" hidden="1">
      <c r="AY195" s="20">
        <f t="shared" si="34"/>
        <v>193</v>
      </c>
      <c r="AZ195" s="344" t="s">
        <v>933</v>
      </c>
      <c r="BA195" s="345">
        <v>6</v>
      </c>
      <c r="BB195" s="345">
        <v>4</v>
      </c>
      <c r="BC195" s="345">
        <v>3</v>
      </c>
      <c r="BD195" s="345">
        <v>8</v>
      </c>
      <c r="BE195" s="346" t="s">
        <v>947</v>
      </c>
      <c r="BF195" s="347">
        <v>200000</v>
      </c>
      <c r="BG195" s="37" t="s">
        <v>290</v>
      </c>
      <c r="BH195" s="37"/>
      <c r="BI195" s="37"/>
      <c r="BJ195" s="37"/>
      <c r="BK195" s="37"/>
      <c r="BL195" s="37"/>
      <c r="BM195" s="37">
        <v>1</v>
      </c>
      <c r="BN195" s="37"/>
      <c r="BT195" s="37"/>
      <c r="BU195" s="41"/>
      <c r="BV195" s="37"/>
      <c r="BW195" s="127"/>
      <c r="BX195" s="37"/>
      <c r="BY195" s="37"/>
      <c r="BZ195" s="37"/>
      <c r="CA195" s="41"/>
      <c r="GO195" s="37"/>
    </row>
    <row r="196" spans="51:197" ht="18" customHeight="1" hidden="1">
      <c r="AY196" s="20">
        <f aca="true" t="shared" si="35" ref="AY196:AY244">IF(AZ196="","",AY195+1)</f>
        <v>194</v>
      </c>
      <c r="AZ196" s="33" t="s">
        <v>133</v>
      </c>
      <c r="BA196" s="38">
        <v>6</v>
      </c>
      <c r="BB196" s="38">
        <v>2</v>
      </c>
      <c r="BC196" s="38">
        <v>4</v>
      </c>
      <c r="BD196" s="38">
        <v>7</v>
      </c>
      <c r="BE196" s="40" t="s">
        <v>131</v>
      </c>
      <c r="BF196" s="37">
        <v>145000</v>
      </c>
      <c r="BG196" s="37" t="s">
        <v>291</v>
      </c>
      <c r="BH196" s="37"/>
      <c r="BI196" s="37"/>
      <c r="BJ196" s="37"/>
      <c r="BK196" s="37"/>
      <c r="BL196" s="37"/>
      <c r="BM196" s="37">
        <v>1</v>
      </c>
      <c r="BN196" s="37"/>
      <c r="BT196" s="37"/>
      <c r="BU196" s="41"/>
      <c r="BV196" s="37"/>
      <c r="BW196" s="127"/>
      <c r="BX196" s="37"/>
      <c r="BY196" s="37"/>
      <c r="BZ196" s="37"/>
      <c r="CA196" s="41"/>
      <c r="GO196" s="37"/>
    </row>
    <row r="197" spans="51:197" ht="18" customHeight="1" hidden="1">
      <c r="AY197" s="20">
        <f t="shared" si="35"/>
        <v>195</v>
      </c>
      <c r="AZ197" s="344" t="s">
        <v>854</v>
      </c>
      <c r="BA197" s="345">
        <v>6</v>
      </c>
      <c r="BB197" s="345">
        <v>4</v>
      </c>
      <c r="BC197" s="345">
        <v>3</v>
      </c>
      <c r="BD197" s="345">
        <v>8</v>
      </c>
      <c r="BE197" s="346" t="s">
        <v>863</v>
      </c>
      <c r="BF197" s="347">
        <v>200000</v>
      </c>
      <c r="BG197" s="37" t="s">
        <v>292</v>
      </c>
      <c r="BH197" s="37"/>
      <c r="BI197" s="37"/>
      <c r="BJ197" s="37"/>
      <c r="BK197" s="37"/>
      <c r="BL197" s="37"/>
      <c r="BM197" s="37">
        <v>1</v>
      </c>
      <c r="BN197" s="37"/>
      <c r="BT197" s="37"/>
      <c r="BU197" s="41"/>
      <c r="BV197" s="37"/>
      <c r="BW197" s="127"/>
      <c r="BX197" s="37"/>
      <c r="BY197" s="37"/>
      <c r="BZ197" s="37"/>
      <c r="CA197" s="41"/>
      <c r="GO197" s="37"/>
    </row>
    <row r="198" spans="51:197" ht="18" customHeight="1" hidden="1">
      <c r="AY198" s="20">
        <f t="shared" si="35"/>
        <v>196</v>
      </c>
      <c r="AZ198" s="330" t="s">
        <v>800</v>
      </c>
      <c r="BA198" s="327">
        <v>5</v>
      </c>
      <c r="BB198" s="327">
        <v>3</v>
      </c>
      <c r="BC198" s="327">
        <v>4</v>
      </c>
      <c r="BD198" s="327">
        <v>9</v>
      </c>
      <c r="BE198" s="328" t="s">
        <v>801</v>
      </c>
      <c r="BF198" s="329">
        <v>210000</v>
      </c>
      <c r="BG198" s="37" t="s">
        <v>293</v>
      </c>
      <c r="BH198" s="37"/>
      <c r="BI198" s="37"/>
      <c r="BJ198" s="37"/>
      <c r="BK198" s="37"/>
      <c r="BL198" s="37"/>
      <c r="BM198" s="37">
        <v>1</v>
      </c>
      <c r="BN198" s="37"/>
      <c r="BT198" s="37"/>
      <c r="BU198" s="41"/>
      <c r="BV198" s="37"/>
      <c r="BW198" s="127"/>
      <c r="BX198" s="37"/>
      <c r="BY198" s="37"/>
      <c r="BZ198" s="37"/>
      <c r="CA198" s="41"/>
      <c r="GO198" s="37"/>
    </row>
    <row r="199" spans="51:197" ht="18" customHeight="1" hidden="1">
      <c r="AY199" s="20">
        <f t="shared" si="35"/>
        <v>197</v>
      </c>
      <c r="AZ199" s="33" t="s">
        <v>140</v>
      </c>
      <c r="BA199" s="38">
        <v>6</v>
      </c>
      <c r="BB199" s="38">
        <v>3</v>
      </c>
      <c r="BC199" s="38">
        <v>2</v>
      </c>
      <c r="BD199" s="38">
        <v>7</v>
      </c>
      <c r="BE199" s="40" t="s">
        <v>601</v>
      </c>
      <c r="BF199" s="37">
        <v>120000</v>
      </c>
      <c r="BG199" s="37" t="s">
        <v>294</v>
      </c>
      <c r="BH199" s="37"/>
      <c r="BI199" s="37"/>
      <c r="BJ199" s="37"/>
      <c r="BK199" s="37"/>
      <c r="BL199" s="37"/>
      <c r="BM199" s="37">
        <v>1</v>
      </c>
      <c r="BN199" s="37"/>
      <c r="BT199" s="37"/>
      <c r="BU199" s="41"/>
      <c r="BV199" s="37"/>
      <c r="BW199" s="127"/>
      <c r="BX199" s="37"/>
      <c r="BY199" s="37"/>
      <c r="BZ199" s="37"/>
      <c r="CA199" s="41"/>
      <c r="GO199" s="37"/>
    </row>
    <row r="200" spans="51:197" ht="18" customHeight="1" hidden="1">
      <c r="AY200" s="20">
        <f t="shared" si="35"/>
        <v>198</v>
      </c>
      <c r="AZ200" s="317" t="s">
        <v>89</v>
      </c>
      <c r="BA200" s="331">
        <v>9</v>
      </c>
      <c r="BB200" s="331">
        <v>3</v>
      </c>
      <c r="BC200" s="331">
        <v>4</v>
      </c>
      <c r="BD200" s="331">
        <v>7</v>
      </c>
      <c r="BE200" s="332" t="s">
        <v>804</v>
      </c>
      <c r="BF200" s="333">
        <v>200000</v>
      </c>
      <c r="BG200" s="37" t="s">
        <v>295</v>
      </c>
      <c r="BH200" s="37"/>
      <c r="BI200" s="37"/>
      <c r="BJ200" s="37"/>
      <c r="BK200" s="37"/>
      <c r="BL200" s="37"/>
      <c r="BM200" s="37">
        <v>1</v>
      </c>
      <c r="BN200" s="37"/>
      <c r="BT200" s="37"/>
      <c r="BU200" s="41"/>
      <c r="BV200" s="37"/>
      <c r="BW200" s="127"/>
      <c r="BX200" s="37"/>
      <c r="BY200" s="37"/>
      <c r="BZ200" s="37"/>
      <c r="CA200" s="41"/>
      <c r="GO200" s="37"/>
    </row>
    <row r="201" spans="51:197" ht="18" customHeight="1" hidden="1">
      <c r="AY201" s="20">
        <f t="shared" si="35"/>
        <v>199</v>
      </c>
      <c r="AZ201" s="21" t="s">
        <v>98</v>
      </c>
      <c r="BA201" s="22">
        <v>6</v>
      </c>
      <c r="BB201" s="22">
        <v>6</v>
      </c>
      <c r="BC201" s="22">
        <v>3</v>
      </c>
      <c r="BD201" s="22">
        <v>8</v>
      </c>
      <c r="BE201" s="39" t="s">
        <v>141</v>
      </c>
      <c r="BF201" s="23">
        <v>340000</v>
      </c>
      <c r="BG201" s="37" t="s">
        <v>296</v>
      </c>
      <c r="BH201" s="37"/>
      <c r="BI201" s="37"/>
      <c r="BJ201" s="37"/>
      <c r="BK201" s="37"/>
      <c r="BL201" s="37"/>
      <c r="BM201" s="37">
        <v>1</v>
      </c>
      <c r="BN201" s="37"/>
      <c r="BT201" s="37"/>
      <c r="BU201" s="41"/>
      <c r="BV201" s="37"/>
      <c r="BW201" s="127"/>
      <c r="BX201" s="37"/>
      <c r="BY201" s="37"/>
      <c r="BZ201" s="37"/>
      <c r="CA201" s="41"/>
      <c r="GO201" s="189"/>
    </row>
    <row r="202" spans="51:197" ht="18" customHeight="1" hidden="1">
      <c r="AY202" s="20">
        <f t="shared" si="35"/>
        <v>200</v>
      </c>
      <c r="AZ202" s="348" t="s">
        <v>832</v>
      </c>
      <c r="BA202" s="349">
        <v>7</v>
      </c>
      <c r="BB202" s="349">
        <v>3</v>
      </c>
      <c r="BC202" s="349">
        <v>3</v>
      </c>
      <c r="BD202" s="349">
        <v>8</v>
      </c>
      <c r="BE202" s="350" t="s">
        <v>833</v>
      </c>
      <c r="BF202" s="351">
        <v>140000</v>
      </c>
      <c r="BG202" s="37" t="s">
        <v>297</v>
      </c>
      <c r="BH202" s="37"/>
      <c r="BI202" s="37"/>
      <c r="BJ202" s="37"/>
      <c r="BK202" s="37"/>
      <c r="BL202" s="37"/>
      <c r="BM202" s="37">
        <v>1</v>
      </c>
      <c r="BN202" s="37"/>
      <c r="BT202" s="37"/>
      <c r="BU202" s="41"/>
      <c r="BV202" s="37"/>
      <c r="BW202" s="127"/>
      <c r="BX202" s="37"/>
      <c r="BY202" s="37"/>
      <c r="BZ202" s="37"/>
      <c r="CA202" s="41"/>
      <c r="GO202" s="37"/>
    </row>
    <row r="203" spans="51:197" ht="18" customHeight="1" hidden="1">
      <c r="AY203" s="20">
        <f t="shared" si="35"/>
        <v>201</v>
      </c>
      <c r="AZ203" s="354" t="s">
        <v>142</v>
      </c>
      <c r="BA203" s="355">
        <v>6</v>
      </c>
      <c r="BB203" s="355">
        <v>3</v>
      </c>
      <c r="BC203" s="355">
        <v>3</v>
      </c>
      <c r="BD203" s="355">
        <v>8</v>
      </c>
      <c r="BE203" s="356" t="s">
        <v>602</v>
      </c>
      <c r="BF203" s="357">
        <v>110000</v>
      </c>
      <c r="BG203" s="37" t="s">
        <v>298</v>
      </c>
      <c r="BH203" s="37"/>
      <c r="BI203" s="37"/>
      <c r="BJ203" s="37"/>
      <c r="BK203" s="37"/>
      <c r="BL203" s="37"/>
      <c r="BM203" s="37">
        <v>1</v>
      </c>
      <c r="BN203" s="37"/>
      <c r="BT203" s="37"/>
      <c r="BU203" s="41"/>
      <c r="BV203" s="37"/>
      <c r="BW203" s="127"/>
      <c r="BX203" s="37"/>
      <c r="BY203" s="37"/>
      <c r="BZ203" s="37"/>
      <c r="CA203" s="41"/>
      <c r="GO203" s="37"/>
    </row>
    <row r="204" spans="51:197" ht="18" customHeight="1" hidden="1">
      <c r="AY204" s="20">
        <f t="shared" si="35"/>
        <v>202</v>
      </c>
      <c r="AZ204" s="33" t="s">
        <v>144</v>
      </c>
      <c r="BA204" s="38">
        <v>8</v>
      </c>
      <c r="BB204" s="38">
        <v>2</v>
      </c>
      <c r="BC204" s="38">
        <v>3</v>
      </c>
      <c r="BD204" s="38">
        <v>7</v>
      </c>
      <c r="BE204" s="40" t="s">
        <v>143</v>
      </c>
      <c r="BF204" s="37">
        <v>170000</v>
      </c>
      <c r="BG204" s="37" t="s">
        <v>299</v>
      </c>
      <c r="BH204" s="37"/>
      <c r="BI204" s="37"/>
      <c r="BJ204" s="37"/>
      <c r="BK204" s="37"/>
      <c r="BL204" s="37"/>
      <c r="BM204" s="37">
        <v>1</v>
      </c>
      <c r="BN204" s="37"/>
      <c r="BT204" s="37"/>
      <c r="BU204" s="41"/>
      <c r="BV204" s="37"/>
      <c r="BW204" s="127"/>
      <c r="BX204" s="37"/>
      <c r="BY204" s="37"/>
      <c r="BZ204" s="37"/>
      <c r="CA204" s="41"/>
      <c r="GO204" s="37"/>
    </row>
    <row r="205" spans="51:197" ht="18" customHeight="1" hidden="1">
      <c r="AY205" s="20">
        <f t="shared" si="35"/>
        <v>203</v>
      </c>
      <c r="AZ205" s="363" t="s">
        <v>97</v>
      </c>
      <c r="BA205" s="360">
        <v>7</v>
      </c>
      <c r="BB205" s="360">
        <v>3</v>
      </c>
      <c r="BC205" s="360">
        <v>4</v>
      </c>
      <c r="BD205" s="360">
        <v>7</v>
      </c>
      <c r="BE205" s="361" t="s">
        <v>145</v>
      </c>
      <c r="BF205" s="362">
        <v>210000</v>
      </c>
      <c r="BG205" s="37" t="s">
        <v>300</v>
      </c>
      <c r="BH205" s="37"/>
      <c r="BI205" s="37"/>
      <c r="BJ205" s="37"/>
      <c r="BK205" s="37"/>
      <c r="BL205" s="37"/>
      <c r="BM205" s="37">
        <v>1</v>
      </c>
      <c r="BN205" s="37"/>
      <c r="BT205" s="37"/>
      <c r="BU205" s="41"/>
      <c r="BV205" s="37"/>
      <c r="BW205" s="127"/>
      <c r="BX205" s="37"/>
      <c r="BY205" s="37"/>
      <c r="BZ205" s="37"/>
      <c r="CA205" s="41"/>
      <c r="GO205" s="37"/>
    </row>
    <row r="206" spans="51:197" ht="18" customHeight="1" hidden="1">
      <c r="AY206" s="20">
        <f t="shared" si="35"/>
        <v>204</v>
      </c>
      <c r="AZ206" s="33" t="s">
        <v>103</v>
      </c>
      <c r="BA206" s="38">
        <v>6</v>
      </c>
      <c r="BB206" s="38">
        <v>5</v>
      </c>
      <c r="BC206" s="38">
        <v>2</v>
      </c>
      <c r="BD206" s="38">
        <v>9</v>
      </c>
      <c r="BE206" s="40" t="s">
        <v>146</v>
      </c>
      <c r="BF206" s="37">
        <v>330000</v>
      </c>
      <c r="BG206" s="37" t="s">
        <v>301</v>
      </c>
      <c r="BH206" s="37"/>
      <c r="BI206" s="37"/>
      <c r="BJ206" s="37"/>
      <c r="BK206" s="37"/>
      <c r="BL206" s="37"/>
      <c r="BM206" s="37">
        <v>1</v>
      </c>
      <c r="BN206" s="37"/>
      <c r="BT206" s="37"/>
      <c r="BU206" s="41"/>
      <c r="BV206" s="37"/>
      <c r="BW206" s="127"/>
      <c r="BX206" s="37"/>
      <c r="BY206" s="37"/>
      <c r="BZ206" s="37"/>
      <c r="CA206" s="41"/>
      <c r="GO206" s="189"/>
    </row>
    <row r="207" spans="51:197" ht="18" customHeight="1" hidden="1">
      <c r="AY207" s="20">
        <f t="shared" si="35"/>
        <v>205</v>
      </c>
      <c r="AZ207" s="33" t="s">
        <v>147</v>
      </c>
      <c r="BA207" s="38">
        <v>7</v>
      </c>
      <c r="BB207" s="38">
        <v>4</v>
      </c>
      <c r="BC207" s="38">
        <v>4</v>
      </c>
      <c r="BD207" s="38">
        <v>8</v>
      </c>
      <c r="BE207" s="40" t="s">
        <v>451</v>
      </c>
      <c r="BF207" s="37">
        <v>260000</v>
      </c>
      <c r="BG207" s="37" t="s">
        <v>302</v>
      </c>
      <c r="BH207" s="37"/>
      <c r="BI207" s="37"/>
      <c r="BJ207" s="37"/>
      <c r="BK207" s="37"/>
      <c r="BL207" s="37"/>
      <c r="BM207" s="37">
        <v>1</v>
      </c>
      <c r="BN207" s="37"/>
      <c r="BT207" s="37"/>
      <c r="BU207" s="41"/>
      <c r="BV207" s="37"/>
      <c r="BW207" s="127"/>
      <c r="BX207" s="37"/>
      <c r="BY207" s="37"/>
      <c r="BZ207" s="37"/>
      <c r="CA207" s="41"/>
      <c r="GO207" s="23"/>
    </row>
    <row r="208" spans="51:197" ht="18" customHeight="1" hidden="1">
      <c r="AY208" s="20">
        <f t="shared" si="35"/>
        <v>206</v>
      </c>
      <c r="AZ208" s="33" t="s">
        <v>568</v>
      </c>
      <c r="BA208" s="38">
        <v>7</v>
      </c>
      <c r="BB208" s="38">
        <v>2</v>
      </c>
      <c r="BC208" s="38">
        <v>3</v>
      </c>
      <c r="BD208" s="38">
        <v>7</v>
      </c>
      <c r="BE208" s="40" t="s">
        <v>559</v>
      </c>
      <c r="BF208" s="37">
        <v>130000</v>
      </c>
      <c r="BG208" s="37" t="s">
        <v>303</v>
      </c>
      <c r="BH208" s="37"/>
      <c r="BI208" s="37"/>
      <c r="BJ208" s="37"/>
      <c r="BK208" s="37"/>
      <c r="BL208" s="37"/>
      <c r="BM208" s="37">
        <v>1</v>
      </c>
      <c r="BN208" s="37"/>
      <c r="BT208" s="37"/>
      <c r="BU208" s="41"/>
      <c r="BV208" s="37"/>
      <c r="BW208" s="127"/>
      <c r="BX208" s="37"/>
      <c r="BY208" s="37"/>
      <c r="BZ208" s="37"/>
      <c r="CA208" s="41"/>
      <c r="GO208" s="23"/>
    </row>
    <row r="209" spans="51:197" ht="18" customHeight="1" hidden="1">
      <c r="AY209" s="20">
        <f t="shared" si="35"/>
        <v>207</v>
      </c>
      <c r="AZ209" s="33" t="s">
        <v>148</v>
      </c>
      <c r="BA209" s="38">
        <v>5</v>
      </c>
      <c r="BB209" s="38">
        <v>6</v>
      </c>
      <c r="BC209" s="38">
        <v>1</v>
      </c>
      <c r="BD209" s="38">
        <v>8</v>
      </c>
      <c r="BE209" s="40" t="s">
        <v>603</v>
      </c>
      <c r="BF209" s="37">
        <v>330000</v>
      </c>
      <c r="BG209" s="37" t="s">
        <v>304</v>
      </c>
      <c r="BH209" s="37"/>
      <c r="BI209" s="37"/>
      <c r="BJ209" s="37"/>
      <c r="BK209" s="37"/>
      <c r="BL209" s="37"/>
      <c r="BM209" s="37">
        <v>1</v>
      </c>
      <c r="BN209" s="37"/>
      <c r="BT209" s="37"/>
      <c r="BU209" s="41"/>
      <c r="BV209" s="37"/>
      <c r="BW209" s="127"/>
      <c r="BX209" s="37"/>
      <c r="BY209" s="37"/>
      <c r="BZ209" s="37"/>
      <c r="CA209" s="41"/>
      <c r="GO209" s="23"/>
    </row>
    <row r="210" spans="51:197" ht="18" customHeight="1" hidden="1">
      <c r="AY210" s="20">
        <f t="shared" si="35"/>
        <v>208</v>
      </c>
      <c r="AZ210" s="33" t="s">
        <v>569</v>
      </c>
      <c r="BA210" s="38">
        <v>7</v>
      </c>
      <c r="BB210" s="38">
        <v>3</v>
      </c>
      <c r="BC210" s="38">
        <v>3</v>
      </c>
      <c r="BD210" s="38">
        <v>7</v>
      </c>
      <c r="BE210" s="40" t="s">
        <v>560</v>
      </c>
      <c r="BF210" s="37">
        <v>220000</v>
      </c>
      <c r="BG210" s="37" t="s">
        <v>305</v>
      </c>
      <c r="BH210" s="37"/>
      <c r="BI210" s="37"/>
      <c r="BJ210" s="37"/>
      <c r="BK210" s="37"/>
      <c r="BL210" s="37"/>
      <c r="BM210" s="37">
        <v>1</v>
      </c>
      <c r="BN210" s="37"/>
      <c r="BT210" s="37"/>
      <c r="BU210" s="41"/>
      <c r="BV210" s="37"/>
      <c r="BW210" s="127"/>
      <c r="BX210" s="37"/>
      <c r="BY210" s="37"/>
      <c r="BZ210" s="37"/>
      <c r="CA210" s="41"/>
      <c r="GO210" s="23"/>
    </row>
    <row r="211" spans="51:197" ht="18" customHeight="1" hidden="1">
      <c r="AY211" s="20">
        <f t="shared" si="35"/>
        <v>209</v>
      </c>
      <c r="AZ211" s="33" t="s">
        <v>570</v>
      </c>
      <c r="BA211" s="38">
        <v>8</v>
      </c>
      <c r="BB211" s="38">
        <v>3</v>
      </c>
      <c r="BC211" s="38">
        <v>3</v>
      </c>
      <c r="BD211" s="38">
        <v>7</v>
      </c>
      <c r="BE211" s="40" t="s">
        <v>561</v>
      </c>
      <c r="BF211" s="37">
        <v>180000</v>
      </c>
      <c r="BG211" s="37" t="s">
        <v>306</v>
      </c>
      <c r="BH211" s="37"/>
      <c r="BI211" s="37"/>
      <c r="BJ211" s="37"/>
      <c r="BK211" s="37"/>
      <c r="BL211" s="37"/>
      <c r="BM211" s="37">
        <v>1</v>
      </c>
      <c r="BN211" s="37"/>
      <c r="BT211" s="37"/>
      <c r="BU211" s="41"/>
      <c r="BV211" s="37"/>
      <c r="BW211" s="127"/>
      <c r="BX211" s="37"/>
      <c r="BY211" s="37"/>
      <c r="BZ211" s="37"/>
      <c r="CA211" s="41"/>
      <c r="GO211" s="23"/>
    </row>
    <row r="212" spans="51:197" ht="18" customHeight="1" hidden="1">
      <c r="AY212" s="20">
        <f t="shared" si="35"/>
        <v>210</v>
      </c>
      <c r="AZ212" s="317" t="s">
        <v>95</v>
      </c>
      <c r="BA212" s="331">
        <v>8</v>
      </c>
      <c r="BB212" s="331">
        <v>3</v>
      </c>
      <c r="BC212" s="331">
        <v>5</v>
      </c>
      <c r="BD212" s="331">
        <v>7</v>
      </c>
      <c r="BE212" s="332" t="s">
        <v>149</v>
      </c>
      <c r="BF212" s="333">
        <v>260000</v>
      </c>
      <c r="BG212" s="37" t="s">
        <v>307</v>
      </c>
      <c r="BH212" s="37"/>
      <c r="BI212" s="37"/>
      <c r="BJ212" s="37"/>
      <c r="BK212" s="37"/>
      <c r="BL212" s="37"/>
      <c r="BM212" s="37">
        <v>1</v>
      </c>
      <c r="BN212" s="37"/>
      <c r="BT212" s="37"/>
      <c r="BU212" s="41"/>
      <c r="BV212" s="37"/>
      <c r="BW212" s="127"/>
      <c r="BX212" s="37"/>
      <c r="BY212" s="37"/>
      <c r="BZ212" s="37"/>
      <c r="CA212" s="41"/>
      <c r="GO212" s="23"/>
    </row>
    <row r="213" spans="51:197" ht="18" customHeight="1" hidden="1">
      <c r="AY213" s="20">
        <f t="shared" si="35"/>
        <v>211</v>
      </c>
      <c r="AZ213" s="364" t="s">
        <v>886</v>
      </c>
      <c r="BA213" s="331">
        <v>6</v>
      </c>
      <c r="BB213" s="331">
        <v>4</v>
      </c>
      <c r="BC213" s="331">
        <v>3</v>
      </c>
      <c r="BD213" s="331">
        <v>8</v>
      </c>
      <c r="BE213" s="332" t="s">
        <v>887</v>
      </c>
      <c r="BF213" s="333">
        <v>220000</v>
      </c>
      <c r="BG213" s="37" t="s">
        <v>308</v>
      </c>
      <c r="BH213" s="37"/>
      <c r="BI213" s="37"/>
      <c r="BJ213" s="37"/>
      <c r="BK213" s="37"/>
      <c r="BL213" s="37"/>
      <c r="BM213" s="37">
        <v>1</v>
      </c>
      <c r="BN213" s="37"/>
      <c r="BT213" s="37"/>
      <c r="BU213" s="41"/>
      <c r="BV213" s="37"/>
      <c r="BW213" s="127"/>
      <c r="BX213" s="37"/>
      <c r="BY213" s="37"/>
      <c r="BZ213" s="37"/>
      <c r="CA213" s="41"/>
      <c r="GO213" s="23"/>
    </row>
    <row r="214" spans="51:197" ht="18" customHeight="1" hidden="1">
      <c r="AY214" s="20">
        <f t="shared" si="35"/>
        <v>212</v>
      </c>
      <c r="AZ214" s="278" t="s">
        <v>701</v>
      </c>
      <c r="BA214" s="22">
        <v>6</v>
      </c>
      <c r="BB214" s="22">
        <v>5</v>
      </c>
      <c r="BC214" s="22">
        <v>1</v>
      </c>
      <c r="BD214" s="22">
        <v>9</v>
      </c>
      <c r="BE214" s="39" t="s">
        <v>733</v>
      </c>
      <c r="BF214" s="23">
        <v>270000</v>
      </c>
      <c r="BG214" s="37" t="s">
        <v>309</v>
      </c>
      <c r="BH214" s="37"/>
      <c r="BI214" s="37"/>
      <c r="BJ214" s="37"/>
      <c r="BK214" s="37"/>
      <c r="BL214" s="37"/>
      <c r="BM214" s="37">
        <v>1</v>
      </c>
      <c r="BN214" s="37"/>
      <c r="BT214" s="37"/>
      <c r="BU214" s="41"/>
      <c r="BV214" s="37"/>
      <c r="BW214" s="127"/>
      <c r="BX214" s="37"/>
      <c r="BY214" s="37"/>
      <c r="BZ214" s="37"/>
      <c r="CA214" s="41"/>
      <c r="GO214" s="23"/>
    </row>
    <row r="215" spans="51:197" ht="18" customHeight="1" hidden="1">
      <c r="AY215" s="20">
        <f t="shared" si="35"/>
        <v>213</v>
      </c>
      <c r="AZ215" s="364" t="s">
        <v>888</v>
      </c>
      <c r="BA215" s="331">
        <v>5</v>
      </c>
      <c r="BB215" s="331">
        <v>7</v>
      </c>
      <c r="BC215" s="331">
        <v>2</v>
      </c>
      <c r="BD215" s="331">
        <v>9</v>
      </c>
      <c r="BE215" s="332" t="s">
        <v>889</v>
      </c>
      <c r="BF215" s="333">
        <v>130000</v>
      </c>
      <c r="BG215" s="37" t="s">
        <v>310</v>
      </c>
      <c r="BH215" s="37"/>
      <c r="BI215" s="37"/>
      <c r="BJ215" s="37"/>
      <c r="BK215" s="37"/>
      <c r="BL215" s="37"/>
      <c r="BM215" s="37">
        <v>1</v>
      </c>
      <c r="BN215" s="37"/>
      <c r="BT215" s="37"/>
      <c r="BU215" s="41"/>
      <c r="BV215" s="37"/>
      <c r="BW215" s="127"/>
      <c r="BX215" s="37"/>
      <c r="BY215" s="37"/>
      <c r="BZ215" s="37"/>
      <c r="CA215" s="41"/>
      <c r="GO215" s="23"/>
    </row>
    <row r="216" spans="51:197" ht="18" customHeight="1" hidden="1">
      <c r="AY216" s="20">
        <f t="shared" si="35"/>
        <v>214</v>
      </c>
      <c r="AZ216" s="33" t="s">
        <v>604</v>
      </c>
      <c r="BA216" s="38">
        <v>6</v>
      </c>
      <c r="BB216" s="38">
        <v>3</v>
      </c>
      <c r="BC216" s="38">
        <v>3</v>
      </c>
      <c r="BD216" s="38">
        <v>9</v>
      </c>
      <c r="BE216" s="40" t="s">
        <v>605</v>
      </c>
      <c r="BF216" s="37">
        <v>150000</v>
      </c>
      <c r="BG216" s="37" t="s">
        <v>714</v>
      </c>
      <c r="BH216" s="37"/>
      <c r="BI216" s="37"/>
      <c r="BJ216" s="37"/>
      <c r="BK216" s="37"/>
      <c r="BL216" s="37"/>
      <c r="BM216" s="37">
        <v>1</v>
      </c>
      <c r="BN216" s="37"/>
      <c r="BT216" s="37"/>
      <c r="BU216" s="41"/>
      <c r="BV216" s="37"/>
      <c r="BW216" s="127"/>
      <c r="BX216" s="37"/>
      <c r="BY216" s="37"/>
      <c r="BZ216" s="37"/>
      <c r="CA216" s="41"/>
      <c r="GO216" s="189"/>
    </row>
    <row r="217" spans="51:197" ht="18" customHeight="1" hidden="1">
      <c r="AY217" s="20">
        <f t="shared" si="35"/>
        <v>215</v>
      </c>
      <c r="AZ217" s="33" t="s">
        <v>100</v>
      </c>
      <c r="BA217" s="38">
        <v>5</v>
      </c>
      <c r="BB217" s="38">
        <v>5</v>
      </c>
      <c r="BC217" s="38">
        <v>3</v>
      </c>
      <c r="BD217" s="38">
        <v>9</v>
      </c>
      <c r="BE217" s="40" t="s">
        <v>150</v>
      </c>
      <c r="BF217" s="37">
        <v>300000</v>
      </c>
      <c r="BG217" s="37" t="s">
        <v>715</v>
      </c>
      <c r="BH217" s="37"/>
      <c r="BI217" s="37"/>
      <c r="BJ217" s="37"/>
      <c r="BK217" s="37"/>
      <c r="BL217" s="37"/>
      <c r="BM217" s="37">
        <v>1</v>
      </c>
      <c r="BN217" s="37"/>
      <c r="BT217" s="37"/>
      <c r="BU217" s="41"/>
      <c r="BV217" s="37"/>
      <c r="BW217" s="127"/>
      <c r="BX217" s="37"/>
      <c r="BY217" s="37"/>
      <c r="BZ217" s="37"/>
      <c r="CA217" s="41"/>
      <c r="GO217" s="23"/>
    </row>
    <row r="218" spans="51:197" ht="18" customHeight="1" hidden="1">
      <c r="AY218" s="20">
        <f t="shared" si="35"/>
        <v>216</v>
      </c>
      <c r="AZ218" s="33" t="s">
        <v>571</v>
      </c>
      <c r="BA218" s="38">
        <v>8</v>
      </c>
      <c r="BB218" s="38">
        <v>3</v>
      </c>
      <c r="BC218" s="38">
        <v>3</v>
      </c>
      <c r="BD218" s="38">
        <v>8</v>
      </c>
      <c r="BE218" s="40" t="s">
        <v>562</v>
      </c>
      <c r="BF218" s="37">
        <v>220000</v>
      </c>
      <c r="BG218" s="37" t="s">
        <v>716</v>
      </c>
      <c r="BH218" s="37"/>
      <c r="BI218" s="37"/>
      <c r="BJ218" s="37"/>
      <c r="BK218" s="37"/>
      <c r="BL218" s="37"/>
      <c r="BM218" s="37">
        <v>1</v>
      </c>
      <c r="BN218" s="37"/>
      <c r="BT218" s="37"/>
      <c r="BU218" s="41"/>
      <c r="BV218" s="37"/>
      <c r="BW218" s="127"/>
      <c r="BX218" s="37"/>
      <c r="BY218" s="37"/>
      <c r="BZ218" s="37"/>
      <c r="CA218" s="41"/>
      <c r="GO218" s="23"/>
    </row>
    <row r="219" spans="51:197" ht="18" customHeight="1" hidden="1">
      <c r="AY219" s="20">
        <f t="shared" si="35"/>
        <v>217</v>
      </c>
      <c r="AZ219" s="33" t="s">
        <v>572</v>
      </c>
      <c r="BA219" s="38">
        <v>6</v>
      </c>
      <c r="BB219" s="38">
        <v>3</v>
      </c>
      <c r="BC219" s="38">
        <v>3</v>
      </c>
      <c r="BD219" s="38">
        <v>8</v>
      </c>
      <c r="BE219" s="40" t="s">
        <v>563</v>
      </c>
      <c r="BF219" s="37">
        <v>130000</v>
      </c>
      <c r="BG219" s="37" t="s">
        <v>717</v>
      </c>
      <c r="BH219" s="37"/>
      <c r="BI219" s="37"/>
      <c r="BJ219" s="37"/>
      <c r="BK219" s="37"/>
      <c r="BL219" s="37"/>
      <c r="BM219" s="37">
        <v>1</v>
      </c>
      <c r="BN219" s="37"/>
      <c r="BT219" s="37"/>
      <c r="BU219" s="41"/>
      <c r="BV219" s="37"/>
      <c r="BW219" s="127"/>
      <c r="BX219" s="37"/>
      <c r="BY219" s="37"/>
      <c r="BZ219" s="37"/>
      <c r="CA219" s="41"/>
      <c r="GO219" s="23"/>
    </row>
    <row r="220" spans="51:197" ht="18" customHeight="1" hidden="1">
      <c r="AY220" s="20">
        <f t="shared" si="35"/>
        <v>218</v>
      </c>
      <c r="AZ220" s="364" t="s">
        <v>890</v>
      </c>
      <c r="BA220" s="331">
        <v>6</v>
      </c>
      <c r="BB220" s="331">
        <v>4</v>
      </c>
      <c r="BC220" s="331">
        <v>3</v>
      </c>
      <c r="BD220" s="331">
        <v>8</v>
      </c>
      <c r="BE220" s="332" t="s">
        <v>891</v>
      </c>
      <c r="BF220" s="333">
        <v>170000</v>
      </c>
      <c r="BG220" s="37" t="s">
        <v>718</v>
      </c>
      <c r="BH220" s="37"/>
      <c r="BI220" s="37"/>
      <c r="BJ220" s="37"/>
      <c r="BK220" s="37"/>
      <c r="BL220" s="37"/>
      <c r="BM220" s="37">
        <v>1</v>
      </c>
      <c r="BN220" s="37"/>
      <c r="BT220" s="37"/>
      <c r="BU220" s="41"/>
      <c r="BV220" s="37"/>
      <c r="BW220" s="127"/>
      <c r="BX220" s="37"/>
      <c r="BY220" s="37"/>
      <c r="BZ220" s="37"/>
      <c r="CA220" s="41"/>
      <c r="GO220" s="189"/>
    </row>
    <row r="221" spans="51:197" ht="18" customHeight="1" hidden="1">
      <c r="AY221" s="20">
        <f t="shared" si="35"/>
        <v>219</v>
      </c>
      <c r="AZ221" s="33" t="s">
        <v>151</v>
      </c>
      <c r="BA221" s="38">
        <v>5</v>
      </c>
      <c r="BB221" s="38">
        <v>4</v>
      </c>
      <c r="BC221" s="38">
        <v>3</v>
      </c>
      <c r="BD221" s="38">
        <v>8</v>
      </c>
      <c r="BE221" s="40" t="s">
        <v>606</v>
      </c>
      <c r="BF221" s="37">
        <v>130000</v>
      </c>
      <c r="BG221" s="37" t="s">
        <v>719</v>
      </c>
      <c r="BH221" s="37"/>
      <c r="BI221" s="37"/>
      <c r="BJ221" s="37"/>
      <c r="BK221" s="37"/>
      <c r="BL221" s="37"/>
      <c r="BM221" s="37">
        <v>1</v>
      </c>
      <c r="BN221" s="37"/>
      <c r="BT221" s="37"/>
      <c r="BU221" s="41"/>
      <c r="BV221" s="37"/>
      <c r="BW221" s="127"/>
      <c r="BX221" s="37"/>
      <c r="BY221" s="37"/>
      <c r="BZ221" s="37"/>
      <c r="CA221" s="41"/>
      <c r="GO221" s="23"/>
    </row>
    <row r="222" spans="51:197" ht="18" customHeight="1" hidden="1">
      <c r="AY222" s="20">
        <f t="shared" si="35"/>
        <v>220</v>
      </c>
      <c r="AZ222" s="315" t="s">
        <v>106</v>
      </c>
      <c r="BA222" s="327">
        <v>4</v>
      </c>
      <c r="BB222" s="327">
        <v>5</v>
      </c>
      <c r="BC222" s="327">
        <v>2</v>
      </c>
      <c r="BD222" s="327">
        <v>9</v>
      </c>
      <c r="BE222" s="328" t="s">
        <v>152</v>
      </c>
      <c r="BF222" s="329">
        <v>260000</v>
      </c>
      <c r="BG222" s="37" t="s">
        <v>720</v>
      </c>
      <c r="BH222" s="37"/>
      <c r="BI222" s="37"/>
      <c r="BJ222" s="37"/>
      <c r="BK222" s="37"/>
      <c r="BL222" s="37"/>
      <c r="BM222" s="37">
        <v>1</v>
      </c>
      <c r="BN222" s="37"/>
      <c r="BT222" s="37"/>
      <c r="BU222" s="41"/>
      <c r="BV222" s="37"/>
      <c r="BW222" s="127"/>
      <c r="BX222" s="37"/>
      <c r="BY222" s="37"/>
      <c r="BZ222" s="37"/>
      <c r="CA222" s="41"/>
      <c r="GO222" s="23"/>
    </row>
    <row r="223" spans="51:197" ht="18" customHeight="1" hidden="1">
      <c r="AY223" s="20">
        <f t="shared" si="35"/>
        <v>221</v>
      </c>
      <c r="AZ223" s="317" t="s">
        <v>94</v>
      </c>
      <c r="BA223" s="331">
        <v>6</v>
      </c>
      <c r="BB223" s="331">
        <v>6</v>
      </c>
      <c r="BC223" s="331">
        <v>3</v>
      </c>
      <c r="BD223" s="331">
        <v>10</v>
      </c>
      <c r="BE223" s="332" t="s">
        <v>153</v>
      </c>
      <c r="BF223" s="333">
        <v>430000</v>
      </c>
      <c r="BG223" s="37" t="s">
        <v>721</v>
      </c>
      <c r="BH223" s="37"/>
      <c r="BI223" s="37"/>
      <c r="BJ223" s="37"/>
      <c r="BK223" s="37"/>
      <c r="BL223" s="37"/>
      <c r="BM223" s="37">
        <v>1</v>
      </c>
      <c r="BN223" s="37"/>
      <c r="BT223" s="37"/>
      <c r="BU223" s="41"/>
      <c r="BV223" s="37"/>
      <c r="BW223" s="127"/>
      <c r="BX223" s="37"/>
      <c r="BY223" s="37"/>
      <c r="BZ223" s="37"/>
      <c r="CA223" s="41"/>
      <c r="GO223" s="23"/>
    </row>
    <row r="224" spans="51:197" ht="18" customHeight="1" hidden="1">
      <c r="AY224" s="20">
        <f t="shared" si="35"/>
        <v>222</v>
      </c>
      <c r="AZ224" s="21" t="s">
        <v>90</v>
      </c>
      <c r="BA224" s="22">
        <v>6</v>
      </c>
      <c r="BB224" s="22">
        <v>2</v>
      </c>
      <c r="BC224" s="22">
        <v>3</v>
      </c>
      <c r="BD224" s="22">
        <v>7</v>
      </c>
      <c r="BE224" s="39" t="s">
        <v>607</v>
      </c>
      <c r="BF224" s="23">
        <v>130000</v>
      </c>
      <c r="BG224" s="37" t="s">
        <v>722</v>
      </c>
      <c r="BH224" s="37"/>
      <c r="BI224" s="37"/>
      <c r="BJ224" s="37"/>
      <c r="BK224" s="37"/>
      <c r="BL224" s="37"/>
      <c r="BM224" s="37">
        <v>1</v>
      </c>
      <c r="BN224" s="37"/>
      <c r="BT224" s="37"/>
      <c r="BU224" s="41"/>
      <c r="BV224" s="37"/>
      <c r="BW224" s="127"/>
      <c r="BX224" s="37"/>
      <c r="BY224" s="37"/>
      <c r="BZ224" s="37"/>
      <c r="CA224" s="41"/>
      <c r="GO224" s="23"/>
    </row>
    <row r="225" spans="51:197" ht="18" customHeight="1" hidden="1">
      <c r="AY225" s="20">
        <f t="shared" si="35"/>
        <v>223</v>
      </c>
      <c r="AZ225" s="317" t="s">
        <v>99</v>
      </c>
      <c r="BA225" s="331">
        <v>7</v>
      </c>
      <c r="BB225" s="331">
        <v>4</v>
      </c>
      <c r="BC225" s="331">
        <v>4</v>
      </c>
      <c r="BD225" s="331">
        <v>8</v>
      </c>
      <c r="BE225" s="332" t="s">
        <v>154</v>
      </c>
      <c r="BF225" s="333">
        <v>230000</v>
      </c>
      <c r="BG225" s="37" t="s">
        <v>723</v>
      </c>
      <c r="BH225" s="37"/>
      <c r="BI225" s="37"/>
      <c r="BJ225" s="37"/>
      <c r="BK225" s="37"/>
      <c r="BL225" s="37"/>
      <c r="BM225" s="37">
        <v>1</v>
      </c>
      <c r="BN225" s="37"/>
      <c r="BT225" s="37"/>
      <c r="BU225" s="41"/>
      <c r="BV225" s="37"/>
      <c r="BW225" s="127"/>
      <c r="BX225" s="37"/>
      <c r="BY225" s="37"/>
      <c r="BZ225" s="37"/>
      <c r="CA225" s="41"/>
      <c r="GO225" s="189"/>
    </row>
    <row r="226" spans="51:197" ht="18" customHeight="1" hidden="1">
      <c r="AY226" s="20">
        <f t="shared" si="35"/>
        <v>224</v>
      </c>
      <c r="AZ226" s="33" t="s">
        <v>155</v>
      </c>
      <c r="BA226" s="38">
        <v>5</v>
      </c>
      <c r="BB226" s="38">
        <v>3</v>
      </c>
      <c r="BC226" s="38">
        <v>3</v>
      </c>
      <c r="BD226" s="38">
        <v>6</v>
      </c>
      <c r="BE226" s="40" t="s">
        <v>156</v>
      </c>
      <c r="BF226" s="37">
        <v>140000</v>
      </c>
      <c r="BG226" s="37" t="s">
        <v>724</v>
      </c>
      <c r="BH226" s="37"/>
      <c r="BI226" s="37"/>
      <c r="BJ226" s="37"/>
      <c r="BK226" s="37"/>
      <c r="BL226" s="37"/>
      <c r="BM226" s="37">
        <v>1</v>
      </c>
      <c r="BN226" s="37"/>
      <c r="BT226" s="37"/>
      <c r="BU226" s="41"/>
      <c r="BV226" s="37"/>
      <c r="BW226" s="127"/>
      <c r="BX226" s="37"/>
      <c r="BY226" s="37"/>
      <c r="BZ226" s="37"/>
      <c r="CA226" s="41"/>
      <c r="GO226" s="23"/>
    </row>
    <row r="227" spans="51:197" ht="18" customHeight="1" hidden="1">
      <c r="AY227" s="20">
        <f t="shared" si="35"/>
        <v>225</v>
      </c>
      <c r="AZ227" s="33" t="s">
        <v>519</v>
      </c>
      <c r="BA227" s="38">
        <v>8</v>
      </c>
      <c r="BB227" s="38">
        <v>2</v>
      </c>
      <c r="BC227" s="38">
        <v>4</v>
      </c>
      <c r="BD227" s="38">
        <v>7</v>
      </c>
      <c r="BE227" s="40" t="s">
        <v>564</v>
      </c>
      <c r="BF227" s="37">
        <v>250000</v>
      </c>
      <c r="BG227" s="37" t="s">
        <v>725</v>
      </c>
      <c r="BH227" s="37"/>
      <c r="BI227" s="37"/>
      <c r="BJ227" s="37"/>
      <c r="BK227" s="37"/>
      <c r="BL227" s="37"/>
      <c r="BM227" s="37">
        <v>1</v>
      </c>
      <c r="BN227" s="37"/>
      <c r="BT227" s="37"/>
      <c r="BU227" s="41"/>
      <c r="BV227" s="37"/>
      <c r="BW227" s="127"/>
      <c r="BX227" s="37"/>
      <c r="BY227" s="37"/>
      <c r="BZ227" s="37"/>
      <c r="CA227" s="41"/>
      <c r="GO227" s="23"/>
    </row>
    <row r="228" spans="51:197" ht="18" customHeight="1" hidden="1">
      <c r="AY228" s="20">
        <f t="shared" si="35"/>
        <v>226</v>
      </c>
      <c r="AZ228" s="33" t="s">
        <v>109</v>
      </c>
      <c r="BA228" s="38">
        <v>5</v>
      </c>
      <c r="BB228" s="38">
        <v>6</v>
      </c>
      <c r="BC228" s="38">
        <v>1</v>
      </c>
      <c r="BD228" s="38">
        <v>9</v>
      </c>
      <c r="BE228" s="40" t="s">
        <v>157</v>
      </c>
      <c r="BF228" s="37">
        <v>380000</v>
      </c>
      <c r="BG228" s="37" t="s">
        <v>726</v>
      </c>
      <c r="BH228" s="37"/>
      <c r="BI228" s="37"/>
      <c r="BJ228" s="37"/>
      <c r="BK228" s="37"/>
      <c r="BL228" s="37"/>
      <c r="BM228" s="37">
        <v>1</v>
      </c>
      <c r="BN228" s="37"/>
      <c r="BT228" s="37"/>
      <c r="BU228" s="41"/>
      <c r="BV228" s="37"/>
      <c r="BW228" s="127"/>
      <c r="BX228" s="37"/>
      <c r="BY228" s="37"/>
      <c r="BZ228" s="37"/>
      <c r="CA228" s="41"/>
      <c r="GO228" s="23"/>
    </row>
    <row r="229" spans="51:197" ht="18" customHeight="1" hidden="1">
      <c r="AY229" s="20">
        <f t="shared" si="35"/>
        <v>227</v>
      </c>
      <c r="AZ229" s="33" t="s">
        <v>171</v>
      </c>
      <c r="BA229" s="38">
        <v>7</v>
      </c>
      <c r="BB229" s="38">
        <v>3</v>
      </c>
      <c r="BC229" s="38">
        <v>3</v>
      </c>
      <c r="BD229" s="38">
        <v>7</v>
      </c>
      <c r="BE229" s="40" t="s">
        <v>158</v>
      </c>
      <c r="BF229" s="37">
        <v>200000</v>
      </c>
      <c r="BG229" s="37" t="s">
        <v>727</v>
      </c>
      <c r="BH229" s="37"/>
      <c r="BI229" s="37"/>
      <c r="BJ229" s="37"/>
      <c r="BK229" s="37"/>
      <c r="BL229" s="37"/>
      <c r="BM229" s="37">
        <v>1</v>
      </c>
      <c r="BN229" s="37"/>
      <c r="BT229" s="37"/>
      <c r="BU229" s="41"/>
      <c r="BV229" s="37"/>
      <c r="BW229" s="127"/>
      <c r="BX229" s="37"/>
      <c r="BY229" s="37"/>
      <c r="BZ229" s="37"/>
      <c r="CA229" s="41"/>
      <c r="GO229" s="23"/>
    </row>
    <row r="230" spans="51:197" ht="18" customHeight="1" hidden="1">
      <c r="AY230" s="20">
        <f t="shared" si="35"/>
        <v>228</v>
      </c>
      <c r="AZ230" s="317" t="s">
        <v>892</v>
      </c>
      <c r="BA230" s="331">
        <v>4</v>
      </c>
      <c r="BB230" s="331">
        <v>6</v>
      </c>
      <c r="BC230" s="331">
        <v>1</v>
      </c>
      <c r="BD230" s="331">
        <v>9</v>
      </c>
      <c r="BE230" s="332" t="s">
        <v>159</v>
      </c>
      <c r="BF230" s="333">
        <v>270000</v>
      </c>
      <c r="BG230" s="37" t="s">
        <v>728</v>
      </c>
      <c r="BH230" s="37"/>
      <c r="BI230" s="37"/>
      <c r="BJ230" s="37"/>
      <c r="BK230" s="37"/>
      <c r="BL230" s="37"/>
      <c r="BM230" s="37">
        <v>1</v>
      </c>
      <c r="BN230" s="37"/>
      <c r="BT230" s="37"/>
      <c r="BU230" s="41"/>
      <c r="BV230" s="37"/>
      <c r="BW230" s="127"/>
      <c r="BX230" s="37"/>
      <c r="BY230" s="37"/>
      <c r="BZ230" s="37"/>
      <c r="CA230" s="41"/>
      <c r="GO230" s="23"/>
    </row>
    <row r="231" spans="51:197" ht="18" customHeight="1" hidden="1">
      <c r="AY231" s="20">
        <f t="shared" si="35"/>
        <v>229</v>
      </c>
      <c r="AZ231" s="315" t="s">
        <v>573</v>
      </c>
      <c r="BA231" s="327">
        <v>8</v>
      </c>
      <c r="BB231" s="327">
        <v>3</v>
      </c>
      <c r="BC231" s="327">
        <v>5</v>
      </c>
      <c r="BD231" s="327">
        <v>7</v>
      </c>
      <c r="BE231" s="328" t="s">
        <v>565</v>
      </c>
      <c r="BF231" s="329">
        <v>250000</v>
      </c>
      <c r="BG231" s="37" t="s">
        <v>729</v>
      </c>
      <c r="BH231" s="37"/>
      <c r="BI231" s="37"/>
      <c r="BJ231" s="37"/>
      <c r="BK231" s="37"/>
      <c r="BL231" s="37"/>
      <c r="BM231" s="37">
        <v>1</v>
      </c>
      <c r="BN231" s="37"/>
      <c r="BT231" s="37"/>
      <c r="BU231" s="41"/>
      <c r="BV231" s="37"/>
      <c r="BW231" s="127"/>
      <c r="BX231" s="37"/>
      <c r="BY231" s="37"/>
      <c r="BZ231" s="37"/>
      <c r="CA231" s="41"/>
      <c r="GO231" s="189"/>
    </row>
    <row r="232" spans="51:197" ht="18" customHeight="1" hidden="1">
      <c r="AY232" s="20">
        <f t="shared" si="35"/>
        <v>230</v>
      </c>
      <c r="AZ232" s="317" t="s">
        <v>91</v>
      </c>
      <c r="BA232" s="331">
        <v>7</v>
      </c>
      <c r="BB232" s="331">
        <v>2</v>
      </c>
      <c r="BC232" s="331">
        <v>3</v>
      </c>
      <c r="BD232" s="331">
        <v>7</v>
      </c>
      <c r="BE232" s="332" t="s">
        <v>608</v>
      </c>
      <c r="BF232" s="333">
        <v>150000</v>
      </c>
      <c r="BG232" s="37" t="s">
        <v>730</v>
      </c>
      <c r="BH232" s="37"/>
      <c r="BI232" s="37"/>
      <c r="BJ232" s="37"/>
      <c r="BK232" s="37"/>
      <c r="BL232" s="37"/>
      <c r="BM232" s="37">
        <v>1</v>
      </c>
      <c r="BN232" s="37"/>
      <c r="BT232" s="37"/>
      <c r="BU232" s="41"/>
      <c r="BV232" s="37"/>
      <c r="BW232" s="127"/>
      <c r="BX232" s="37"/>
      <c r="BY232" s="37"/>
      <c r="BZ232" s="37"/>
      <c r="CA232" s="41"/>
      <c r="GO232" s="37"/>
    </row>
    <row r="233" spans="51:197" ht="18" customHeight="1" hidden="1">
      <c r="AY233" s="20">
        <f t="shared" si="35"/>
        <v>231</v>
      </c>
      <c r="AZ233" s="33" t="s">
        <v>160</v>
      </c>
      <c r="BA233" s="38">
        <v>6</v>
      </c>
      <c r="BB233" s="38">
        <v>4</v>
      </c>
      <c r="BC233" s="38">
        <v>2</v>
      </c>
      <c r="BD233" s="38">
        <v>8</v>
      </c>
      <c r="BE233" s="40" t="s">
        <v>161</v>
      </c>
      <c r="BF233" s="37">
        <v>220000</v>
      </c>
      <c r="BG233" s="37" t="s">
        <v>731</v>
      </c>
      <c r="BH233" s="37"/>
      <c r="BI233" s="37"/>
      <c r="BJ233" s="37"/>
      <c r="BK233" s="37"/>
      <c r="BL233" s="37"/>
      <c r="BM233" s="37">
        <v>1</v>
      </c>
      <c r="BN233" s="37"/>
      <c r="BT233" s="37"/>
      <c r="BU233" s="41"/>
      <c r="BV233" s="37"/>
      <c r="BW233" s="127"/>
      <c r="BX233" s="37"/>
      <c r="BY233" s="37"/>
      <c r="BZ233" s="37"/>
      <c r="CA233" s="41"/>
      <c r="GO233" s="37"/>
    </row>
    <row r="234" spans="51:197" ht="18" customHeight="1" hidden="1">
      <c r="AY234" s="20">
        <f t="shared" si="35"/>
        <v>232</v>
      </c>
      <c r="AZ234" s="33" t="s">
        <v>574</v>
      </c>
      <c r="BA234" s="38">
        <v>6</v>
      </c>
      <c r="BB234" s="38">
        <v>3</v>
      </c>
      <c r="BC234" s="38">
        <v>2</v>
      </c>
      <c r="BD234" s="38">
        <v>7</v>
      </c>
      <c r="BE234" s="40" t="s">
        <v>556</v>
      </c>
      <c r="BF234" s="37">
        <v>80000</v>
      </c>
      <c r="BG234" s="37" t="s">
        <v>734</v>
      </c>
      <c r="BH234" s="37"/>
      <c r="BI234" s="37"/>
      <c r="BJ234" s="37"/>
      <c r="BK234" s="37"/>
      <c r="BL234" s="37"/>
      <c r="BM234" s="37">
        <v>1</v>
      </c>
      <c r="BN234" s="37"/>
      <c r="BT234" s="37"/>
      <c r="BU234" s="41"/>
      <c r="BV234" s="37"/>
      <c r="BW234" s="127"/>
      <c r="BX234" s="37"/>
      <c r="BY234" s="37"/>
      <c r="BZ234" s="37"/>
      <c r="CA234" s="41"/>
      <c r="GO234" s="37"/>
    </row>
    <row r="235" spans="51:197" ht="18" customHeight="1" hidden="1">
      <c r="AY235" s="20">
        <f t="shared" si="35"/>
        <v>233</v>
      </c>
      <c r="AZ235" s="33" t="s">
        <v>162</v>
      </c>
      <c r="BA235" s="38">
        <v>9</v>
      </c>
      <c r="BB235" s="38">
        <v>2</v>
      </c>
      <c r="BC235" s="38">
        <v>4</v>
      </c>
      <c r="BD235" s="38">
        <v>7</v>
      </c>
      <c r="BE235" s="40" t="s">
        <v>163</v>
      </c>
      <c r="BF235" s="37">
        <v>160000</v>
      </c>
      <c r="BG235" s="37" t="s">
        <v>803</v>
      </c>
      <c r="BH235" s="37"/>
      <c r="BI235" s="37"/>
      <c r="BJ235" s="37"/>
      <c r="BK235" s="37"/>
      <c r="BL235" s="37"/>
      <c r="BM235" s="37">
        <v>1</v>
      </c>
      <c r="BN235" s="37"/>
      <c r="BT235" s="37"/>
      <c r="BU235" s="41"/>
      <c r="BV235" s="37"/>
      <c r="BW235" s="127"/>
      <c r="BX235" s="37"/>
      <c r="BY235" s="37"/>
      <c r="BZ235" s="37"/>
      <c r="CA235" s="41"/>
      <c r="GO235" s="37"/>
    </row>
    <row r="236" spans="51:197" ht="18" customHeight="1" hidden="1">
      <c r="AY236" s="20">
        <f t="shared" si="35"/>
        <v>234</v>
      </c>
      <c r="AZ236" s="33" t="s">
        <v>520</v>
      </c>
      <c r="BA236" s="38">
        <v>7</v>
      </c>
      <c r="BB236" s="38">
        <v>4</v>
      </c>
      <c r="BC236" s="38">
        <v>1</v>
      </c>
      <c r="BD236" s="38">
        <v>9</v>
      </c>
      <c r="BE236" s="40" t="s">
        <v>165</v>
      </c>
      <c r="BF236" s="37">
        <v>250000</v>
      </c>
      <c r="BG236" s="37" t="s">
        <v>834</v>
      </c>
      <c r="BH236" s="37"/>
      <c r="BI236" s="37"/>
      <c r="BJ236" s="37"/>
      <c r="BK236" s="37"/>
      <c r="BL236" s="37"/>
      <c r="BM236" s="37">
        <v>1</v>
      </c>
      <c r="BN236" s="37"/>
      <c r="BT236" s="37"/>
      <c r="BU236" s="41"/>
      <c r="BV236" s="37"/>
      <c r="BW236" s="127"/>
      <c r="BX236" s="37"/>
      <c r="BY236" s="37"/>
      <c r="BZ236" s="37"/>
      <c r="CA236" s="41"/>
      <c r="GO236" s="37"/>
    </row>
    <row r="237" spans="51:197" ht="18" customHeight="1" hidden="1">
      <c r="AY237" s="20">
        <f t="shared" si="35"/>
        <v>235</v>
      </c>
      <c r="AZ237" s="33" t="s">
        <v>575</v>
      </c>
      <c r="BA237" s="38">
        <v>6</v>
      </c>
      <c r="BB237" s="38">
        <v>3</v>
      </c>
      <c r="BC237" s="38">
        <v>4</v>
      </c>
      <c r="BD237" s="38">
        <v>8</v>
      </c>
      <c r="BE237" s="40" t="s">
        <v>555</v>
      </c>
      <c r="BF237" s="37">
        <v>180000</v>
      </c>
      <c r="BG237" s="37" t="s">
        <v>864</v>
      </c>
      <c r="BH237" s="37"/>
      <c r="BI237" s="37"/>
      <c r="BJ237" s="37"/>
      <c r="BK237" s="37"/>
      <c r="BL237" s="37"/>
      <c r="BM237" s="37">
        <v>1</v>
      </c>
      <c r="BN237" s="37"/>
      <c r="BT237" s="37"/>
      <c r="BU237" s="41"/>
      <c r="BV237" s="37"/>
      <c r="BW237" s="127"/>
      <c r="BX237" s="37"/>
      <c r="BY237" s="37"/>
      <c r="BZ237" s="37"/>
      <c r="CA237" s="41"/>
      <c r="GO237" s="189"/>
    </row>
    <row r="238" spans="51:197" ht="18" customHeight="1" hidden="1">
      <c r="AY238" s="20">
        <f t="shared" si="35"/>
        <v>236</v>
      </c>
      <c r="AZ238" s="330" t="s">
        <v>893</v>
      </c>
      <c r="BA238" s="365" t="s">
        <v>894</v>
      </c>
      <c r="BB238" s="327" t="s">
        <v>895</v>
      </c>
      <c r="BC238" s="327" t="s">
        <v>896</v>
      </c>
      <c r="BD238" s="327" t="s">
        <v>897</v>
      </c>
      <c r="BE238" s="328" t="s">
        <v>898</v>
      </c>
      <c r="BF238" s="329">
        <v>390000</v>
      </c>
      <c r="BG238" s="37" t="s">
        <v>904</v>
      </c>
      <c r="BH238" s="37"/>
      <c r="BI238" s="37"/>
      <c r="BJ238" s="37"/>
      <c r="BK238" s="37"/>
      <c r="BL238" s="37"/>
      <c r="BM238" s="37">
        <v>1</v>
      </c>
      <c r="BN238" s="37"/>
      <c r="BT238" s="37"/>
      <c r="BU238" s="41"/>
      <c r="BV238" s="37"/>
      <c r="BW238" s="127"/>
      <c r="BX238" s="37"/>
      <c r="BY238" s="37"/>
      <c r="BZ238" s="37"/>
      <c r="CA238" s="41"/>
      <c r="GO238" s="23"/>
    </row>
    <row r="239" spans="51:197" ht="18" customHeight="1" hidden="1">
      <c r="AY239" s="20">
        <f t="shared" si="35"/>
        <v>237</v>
      </c>
      <c r="AZ239" s="33" t="s">
        <v>164</v>
      </c>
      <c r="BA239" s="38">
        <v>5</v>
      </c>
      <c r="BB239" s="38">
        <v>3</v>
      </c>
      <c r="BC239" s="38">
        <v>3</v>
      </c>
      <c r="BD239" s="38">
        <v>9</v>
      </c>
      <c r="BE239" s="40" t="s">
        <v>606</v>
      </c>
      <c r="BF239" s="37">
        <v>100000</v>
      </c>
      <c r="BG239" s="37" t="s">
        <v>905</v>
      </c>
      <c r="BH239" s="37"/>
      <c r="BI239" s="37"/>
      <c r="BJ239" s="37"/>
      <c r="BK239" s="37"/>
      <c r="BL239" s="37"/>
      <c r="BM239" s="37">
        <v>1</v>
      </c>
      <c r="BN239" s="37"/>
      <c r="BT239" s="37"/>
      <c r="BU239" s="41"/>
      <c r="BV239" s="37"/>
      <c r="BW239" s="127"/>
      <c r="BX239" s="37"/>
      <c r="BY239" s="37"/>
      <c r="BZ239" s="37"/>
      <c r="CA239" s="41"/>
      <c r="GO239" s="23"/>
    </row>
    <row r="240" spans="51:197" ht="18" customHeight="1" hidden="1">
      <c r="AY240" s="20">
        <f t="shared" si="35"/>
        <v>238</v>
      </c>
      <c r="AZ240" s="317" t="s">
        <v>93</v>
      </c>
      <c r="BA240" s="331">
        <v>6</v>
      </c>
      <c r="BB240" s="331">
        <v>4</v>
      </c>
      <c r="BC240" s="331">
        <v>3</v>
      </c>
      <c r="BD240" s="331">
        <v>9</v>
      </c>
      <c r="BE240" s="332" t="s">
        <v>166</v>
      </c>
      <c r="BF240" s="333">
        <v>290000</v>
      </c>
      <c r="BG240" s="37" t="s">
        <v>906</v>
      </c>
      <c r="BH240" s="37"/>
      <c r="BI240" s="37"/>
      <c r="BJ240" s="37"/>
      <c r="BK240" s="37"/>
      <c r="BL240" s="37"/>
      <c r="BM240" s="37">
        <v>1</v>
      </c>
      <c r="BN240" s="37"/>
      <c r="BT240" s="37"/>
      <c r="BU240" s="41"/>
      <c r="BV240" s="37"/>
      <c r="BW240" s="127"/>
      <c r="BX240" s="37"/>
      <c r="BY240" s="37"/>
      <c r="BZ240" s="37"/>
      <c r="CA240" s="41"/>
      <c r="GO240" s="23"/>
    </row>
    <row r="241" spans="51:197" ht="18" customHeight="1" hidden="1">
      <c r="AY241" s="20">
        <f t="shared" si="35"/>
        <v>239</v>
      </c>
      <c r="AZ241" s="33" t="s">
        <v>167</v>
      </c>
      <c r="BA241" s="38">
        <v>8</v>
      </c>
      <c r="BB241" s="38">
        <v>4</v>
      </c>
      <c r="BC241" s="38">
        <v>3</v>
      </c>
      <c r="BD241" s="38">
        <v>8</v>
      </c>
      <c r="BE241" s="40" t="s">
        <v>168</v>
      </c>
      <c r="BF241" s="37">
        <v>240000</v>
      </c>
      <c r="BG241" s="37" t="s">
        <v>907</v>
      </c>
      <c r="BH241" s="37"/>
      <c r="BI241" s="37"/>
      <c r="BJ241" s="37"/>
      <c r="BK241" s="37"/>
      <c r="BL241" s="37"/>
      <c r="BM241" s="37">
        <v>1</v>
      </c>
      <c r="BN241" s="37"/>
      <c r="BT241" s="37"/>
      <c r="BU241" s="41"/>
      <c r="BV241" s="37"/>
      <c r="BW241" s="127"/>
      <c r="BX241" s="37"/>
      <c r="BY241" s="37"/>
      <c r="BZ241" s="37"/>
      <c r="CA241" s="41"/>
      <c r="GO241" s="189"/>
    </row>
    <row r="242" spans="51:197" ht="18" customHeight="1" hidden="1">
      <c r="AY242" s="20">
        <f t="shared" si="35"/>
        <v>240</v>
      </c>
      <c r="AZ242" s="315" t="s">
        <v>576</v>
      </c>
      <c r="BA242" s="327">
        <v>5</v>
      </c>
      <c r="BB242" s="327">
        <v>4</v>
      </c>
      <c r="BC242" s="327">
        <v>3</v>
      </c>
      <c r="BD242" s="327">
        <v>8</v>
      </c>
      <c r="BE242" s="328" t="s">
        <v>554</v>
      </c>
      <c r="BF242" s="329">
        <v>150000</v>
      </c>
      <c r="BG242" s="37" t="s">
        <v>908</v>
      </c>
      <c r="BH242" s="37"/>
      <c r="BI242" s="37"/>
      <c r="BJ242" s="37"/>
      <c r="BK242" s="37"/>
      <c r="BL242" s="37"/>
      <c r="BM242" s="37">
        <v>1</v>
      </c>
      <c r="BN242" s="37"/>
      <c r="BT242" s="37"/>
      <c r="BU242" s="41"/>
      <c r="BV242" s="37"/>
      <c r="BW242" s="127"/>
      <c r="BX242" s="37"/>
      <c r="BY242" s="37"/>
      <c r="BZ242" s="37"/>
      <c r="CA242" s="41"/>
      <c r="GO242" s="37"/>
    </row>
    <row r="243" spans="51:197" ht="18" customHeight="1" hidden="1">
      <c r="AY243" s="20">
        <f t="shared" si="35"/>
        <v>241</v>
      </c>
      <c r="AZ243" s="33" t="s">
        <v>108</v>
      </c>
      <c r="BA243" s="38">
        <v>6</v>
      </c>
      <c r="BB243" s="38">
        <v>4</v>
      </c>
      <c r="BC243" s="38">
        <v>3</v>
      </c>
      <c r="BD243" s="38">
        <v>8</v>
      </c>
      <c r="BE243" s="40" t="s">
        <v>169</v>
      </c>
      <c r="BF243" s="37">
        <v>270000</v>
      </c>
      <c r="BG243" s="37" t="s">
        <v>948</v>
      </c>
      <c r="BH243" s="37"/>
      <c r="BI243" s="37"/>
      <c r="BJ243" s="37"/>
      <c r="BK243" s="37"/>
      <c r="BL243" s="37"/>
      <c r="BM243" s="37">
        <v>1</v>
      </c>
      <c r="BN243" s="37"/>
      <c r="BT243" s="37"/>
      <c r="BU243" s="41"/>
      <c r="BV243" s="37"/>
      <c r="BW243" s="127"/>
      <c r="BX243" s="37"/>
      <c r="BY243" s="37"/>
      <c r="BZ243" s="37"/>
      <c r="CA243" s="41"/>
      <c r="GO243" s="37"/>
    </row>
    <row r="244" spans="51:197" ht="18" customHeight="1" hidden="1">
      <c r="AY244" s="20">
        <f t="shared" si="35"/>
        <v>242</v>
      </c>
      <c r="AZ244" s="33" t="s">
        <v>102</v>
      </c>
      <c r="BA244" s="38">
        <v>4</v>
      </c>
      <c r="BB244" s="38">
        <v>4</v>
      </c>
      <c r="BC244" s="38">
        <v>3</v>
      </c>
      <c r="BD244" s="38">
        <v>9</v>
      </c>
      <c r="BE244" s="40" t="s">
        <v>170</v>
      </c>
      <c r="BF244" s="37">
        <v>90000</v>
      </c>
      <c r="BG244" s="37" t="s">
        <v>949</v>
      </c>
      <c r="BH244" s="37"/>
      <c r="BI244" s="37"/>
      <c r="BJ244" s="37"/>
      <c r="BK244" s="37"/>
      <c r="BL244" s="37"/>
      <c r="BM244" s="37">
        <v>1</v>
      </c>
      <c r="BN244" s="37"/>
      <c r="BT244" s="37"/>
      <c r="BU244" s="41"/>
      <c r="BV244" s="37"/>
      <c r="BW244" s="127"/>
      <c r="BX244" s="37"/>
      <c r="BY244" s="37"/>
      <c r="BZ244" s="37"/>
      <c r="CA244" s="41"/>
      <c r="GO244" s="37"/>
    </row>
    <row r="245" spans="59:197" ht="18" customHeight="1" hidden="1">
      <c r="BG245" s="37"/>
      <c r="BH245" s="37"/>
      <c r="BI245" s="37"/>
      <c r="BJ245" s="37"/>
      <c r="BK245" s="37"/>
      <c r="BL245" s="37"/>
      <c r="BM245" s="37"/>
      <c r="BN245" s="37"/>
      <c r="BT245" s="37"/>
      <c r="BU245" s="41"/>
      <c r="BV245" s="37"/>
      <c r="BW245" s="127"/>
      <c r="BX245" s="37"/>
      <c r="BY245" s="37"/>
      <c r="BZ245" s="37"/>
      <c r="CA245" s="41"/>
      <c r="GO245" s="37"/>
    </row>
    <row r="246" spans="59:197" ht="9.75" customHeight="1" hidden="1">
      <c r="BG246" s="37"/>
      <c r="BH246" s="37"/>
      <c r="BI246" s="37"/>
      <c r="BJ246" s="37"/>
      <c r="BK246" s="37"/>
      <c r="BL246" s="37"/>
      <c r="BM246" s="37"/>
      <c r="BN246" s="37"/>
      <c r="BT246" s="37"/>
      <c r="BU246" s="41"/>
      <c r="BV246" s="37"/>
      <c r="BW246" s="127"/>
      <c r="BX246" s="37"/>
      <c r="BY246" s="37"/>
      <c r="BZ246" s="37"/>
      <c r="CA246" s="41"/>
      <c r="GO246" s="37"/>
    </row>
    <row r="247" spans="59:197" ht="9.75" customHeight="1" hidden="1">
      <c r="BG247" s="37"/>
      <c r="BH247" s="37"/>
      <c r="BI247" s="37"/>
      <c r="BJ247" s="37"/>
      <c r="BK247" s="37"/>
      <c r="BL247" s="37"/>
      <c r="BM247" s="37"/>
      <c r="BN247" s="37"/>
      <c r="BT247" s="37"/>
      <c r="BU247" s="41"/>
      <c r="BV247" s="37"/>
      <c r="BW247" s="127"/>
      <c r="BX247" s="37"/>
      <c r="BY247" s="37"/>
      <c r="BZ247" s="37"/>
      <c r="CA247" s="41"/>
      <c r="GO247" s="189"/>
    </row>
    <row r="248" ht="9.75" customHeight="1" hidden="1">
      <c r="GO248" s="37"/>
    </row>
    <row r="249" ht="9.75" customHeight="1" hidden="1">
      <c r="GO249" s="37"/>
    </row>
    <row r="250" ht="9.75" customHeight="1" hidden="1">
      <c r="GO250" s="37"/>
    </row>
    <row r="251" ht="9.75" customHeight="1" hidden="1">
      <c r="GO251" s="37"/>
    </row>
    <row r="252" ht="9.75" customHeight="1" hidden="1">
      <c r="GO252" s="37"/>
    </row>
    <row r="253" ht="9.75" customHeight="1" hidden="1">
      <c r="GO253" s="23"/>
    </row>
    <row r="254" ht="9.75" customHeight="1" hidden="1">
      <c r="GO254" s="189"/>
    </row>
    <row r="255" ht="9.75" customHeight="1" hidden="1">
      <c r="GO255" s="37"/>
    </row>
    <row r="256" ht="9.75" customHeight="1" hidden="1">
      <c r="GO256" s="37"/>
    </row>
    <row r="257" ht="9.75" customHeight="1" hidden="1">
      <c r="GO257" s="37"/>
    </row>
    <row r="258" ht="9.75" customHeight="1" hidden="1">
      <c r="GO258" s="37"/>
    </row>
    <row r="259" ht="9.75" customHeight="1" hidden="1">
      <c r="GO259" s="189"/>
    </row>
    <row r="260" ht="9.75" customHeight="1" hidden="1">
      <c r="GO260" s="23"/>
    </row>
    <row r="261" ht="9.75" customHeight="1" hidden="1">
      <c r="GO261" s="23"/>
    </row>
    <row r="262" ht="9.75" customHeight="1" hidden="1">
      <c r="GO262" s="189"/>
    </row>
    <row r="263" ht="9.75" customHeight="1" hidden="1">
      <c r="GO263" s="23"/>
    </row>
    <row r="264" ht="9.75" customHeight="1" hidden="1">
      <c r="GO264" s="23"/>
    </row>
    <row r="265" ht="9.75" customHeight="1" hidden="1">
      <c r="GO265" s="23"/>
    </row>
    <row r="266" ht="9.75" customHeight="1" hidden="1">
      <c r="GO266" s="23"/>
    </row>
    <row r="267" ht="9.75" customHeight="1" hidden="1">
      <c r="GO267" s="23"/>
    </row>
    <row r="268" ht="9.75" customHeight="1" hidden="1">
      <c r="GO268" s="23"/>
    </row>
    <row r="269" ht="9.75" customHeight="1" hidden="1">
      <c r="GO269" s="189"/>
    </row>
    <row r="270" ht="9.75" customHeight="1" hidden="1">
      <c r="GO270" s="23"/>
    </row>
    <row r="271" ht="9.75" customHeight="1" hidden="1">
      <c r="GO271" s="23"/>
    </row>
    <row r="272" ht="9.75" customHeight="1" hidden="1">
      <c r="GO272" s="23"/>
    </row>
    <row r="273" ht="9.75" customHeight="1" hidden="1">
      <c r="GO273" s="23"/>
    </row>
    <row r="274" ht="9.75" customHeight="1" hidden="1">
      <c r="GO274" s="23"/>
    </row>
    <row r="275" ht="9.75" customHeight="1" hidden="1">
      <c r="GO275" s="189"/>
    </row>
    <row r="276" ht="9.75" customHeight="1" hidden="1">
      <c r="GO276" s="37"/>
    </row>
    <row r="277" ht="9.75" customHeight="1" hidden="1">
      <c r="GO277" s="37"/>
    </row>
    <row r="278" ht="9.75" customHeight="1" hidden="1">
      <c r="GO278" s="37"/>
    </row>
    <row r="279" ht="9.75" customHeight="1" hidden="1">
      <c r="GO279" s="37"/>
    </row>
    <row r="280" ht="9.75" customHeight="1" hidden="1">
      <c r="GO280" s="37"/>
    </row>
    <row r="281" ht="9.75" customHeight="1" hidden="1">
      <c r="GO281" s="189"/>
    </row>
    <row r="282" ht="9.75" customHeight="1" hidden="1">
      <c r="GO282" s="189"/>
    </row>
    <row r="283" ht="9.75" customHeight="1" hidden="1">
      <c r="GO283" s="37"/>
    </row>
    <row r="284" ht="9.75" customHeight="1" hidden="1">
      <c r="GO284" s="37"/>
    </row>
    <row r="285" ht="9.75" customHeight="1" hidden="1">
      <c r="GO285" s="189"/>
    </row>
    <row r="286" ht="9.75" customHeight="1" hidden="1">
      <c r="GO286" s="23"/>
    </row>
    <row r="287" ht="9.75" customHeight="1" hidden="1">
      <c r="GO287" s="23"/>
    </row>
    <row r="288" ht="9.75" customHeight="1" hidden="1">
      <c r="GO288" s="23"/>
    </row>
    <row r="289" ht="9.75" customHeight="1" hidden="1">
      <c r="GO289" s="23"/>
    </row>
    <row r="290" ht="9.75" customHeight="1" hidden="1">
      <c r="GO290" s="23"/>
    </row>
  </sheetData>
  <sheetProtection password="9FA7" sheet="1"/>
  <mergeCells count="23">
    <mergeCell ref="X24:Y24"/>
    <mergeCell ref="N24:U24"/>
    <mergeCell ref="N25:U25"/>
    <mergeCell ref="X23:Y23"/>
    <mergeCell ref="N23:U23"/>
    <mergeCell ref="X22:Y22"/>
    <mergeCell ref="I20:M20"/>
    <mergeCell ref="X20:Y20"/>
    <mergeCell ref="X21:Y21"/>
    <mergeCell ref="N20:U20"/>
    <mergeCell ref="P2:S2"/>
    <mergeCell ref="N22:U22"/>
    <mergeCell ref="N21:U21"/>
    <mergeCell ref="E24:H24"/>
    <mergeCell ref="E22:H22"/>
    <mergeCell ref="E19:F19"/>
    <mergeCell ref="G19:H19"/>
    <mergeCell ref="C19:D25"/>
    <mergeCell ref="J19:M19"/>
    <mergeCell ref="E21:H21"/>
    <mergeCell ref="E23:H23"/>
    <mergeCell ref="I22:M22"/>
    <mergeCell ref="E20:H20"/>
  </mergeCells>
  <conditionalFormatting sqref="E3:H18">
    <cfRule type="cellIs" priority="2" dxfId="16" operator="greaterThanOrEqual" stopIfTrue="1">
      <formula>AS3+1</formula>
    </cfRule>
    <cfRule type="cellIs" priority="3" dxfId="15" operator="lessThanOrEqual" stopIfTrue="1">
      <formula>AS3-1</formula>
    </cfRule>
  </conditionalFormatting>
  <conditionalFormatting sqref="W19 T3:W18 Y3:Y18 W25:W26">
    <cfRule type="cellIs" priority="4" dxfId="8" operator="equal" stopIfTrue="1">
      <formula>0</formula>
    </cfRule>
  </conditionalFormatting>
  <conditionalFormatting sqref="AA24:AA26">
    <cfRule type="cellIs" priority="5" dxfId="13" operator="equal" stopIfTrue="1">
      <formula>"0,0"</formula>
    </cfRule>
  </conditionalFormatting>
  <conditionalFormatting sqref="N19:V19">
    <cfRule type="cellIs" priority="7" dxfId="3" operator="equal" stopIfTrue="1">
      <formula>0</formula>
    </cfRule>
  </conditionalFormatting>
  <conditionalFormatting sqref="P3:S18">
    <cfRule type="cellIs" priority="8" dxfId="11" operator="lessThanOrEqual" stopIfTrue="1">
      <formula>-1</formula>
    </cfRule>
  </conditionalFormatting>
  <conditionalFormatting sqref="X24:Y24">
    <cfRule type="cellIs" priority="9" dxfId="10" operator="equal" stopIfTrue="1">
      <formula>-500</formula>
    </cfRule>
  </conditionalFormatting>
  <conditionalFormatting sqref="V24">
    <cfRule type="cellIs" priority="10" dxfId="9" operator="greaterThan" stopIfTrue="1">
      <formula>$X$24</formula>
    </cfRule>
  </conditionalFormatting>
  <conditionalFormatting sqref="I3:I18">
    <cfRule type="cellIs" priority="15" dxfId="8" operator="equal" stopIfTrue="1">
      <formula>0</formula>
    </cfRule>
    <cfRule type="cellIs" priority="16" dxfId="7" operator="equal" stopIfTrue="1">
      <formula>"Player type quantity surpassed"</formula>
    </cfRule>
  </conditionalFormatting>
  <conditionalFormatting sqref="AA3:AA18">
    <cfRule type="cellIs" priority="13" dxfId="4" operator="greaterThan" stopIfTrue="1">
      <formula>AW3</formula>
    </cfRule>
    <cfRule type="cellIs" priority="14" dxfId="3" operator="equal" stopIfTrue="1">
      <formula>0</formula>
    </cfRule>
  </conditionalFormatting>
  <conditionalFormatting sqref="AK3:AK18">
    <cfRule type="cellIs" priority="32" dxfId="4" operator="greaterThan" stopIfTrue="1">
      <formula>AY4</formula>
    </cfRule>
    <cfRule type="cellIs" priority="33" dxfId="3" operator="equal" stopIfTrue="1">
      <formula>0</formula>
    </cfRule>
  </conditionalFormatting>
  <hyperlinks>
    <hyperlink ref="J25" r:id="rId1" display="www.arosbb.dk"/>
  </hyperlinks>
  <printOptions horizontalCentered="1" verticalCentered="1"/>
  <pageMargins left="0.4330708661417323" right="0.3937007874015748" top="0.5905511811023623" bottom="0.5905511811023623" header="0.11811023622047245" footer="0"/>
  <pageSetup fitToHeight="1" fitToWidth="1" horizontalDpi="300" verticalDpi="300" orientation="landscape" paperSize="9" scale="86" r:id="rId5"/>
  <drawing r:id="rId4"/>
  <legacyDrawing r:id="rId3"/>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D2" sqref="D2"/>
    </sheetView>
  </sheetViews>
  <sheetFormatPr defaultColWidth="0" defaultRowHeight="0" customHeight="1" zeroHeight="1"/>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125" style="58" customWidth="1"/>
    <col min="22" max="22" width="5.28125" style="58" customWidth="1"/>
    <col min="23" max="23" width="4.140625" style="58" customWidth="1"/>
    <col min="24" max="24" width="87.28125" style="58" customWidth="1"/>
    <col min="25" max="25" width="1.421875" style="232" customWidth="1"/>
    <col min="26" max="16384" width="9.140625" style="58" hidden="1" customWidth="1"/>
  </cols>
  <sheetData>
    <row r="1" spans="1:25" ht="12.75">
      <c r="A1" s="163" t="s">
        <v>81</v>
      </c>
      <c r="B1" s="164" t="s">
        <v>82</v>
      </c>
      <c r="C1" s="165" t="s">
        <v>13</v>
      </c>
      <c r="D1" s="106"/>
      <c r="E1" s="71"/>
      <c r="F1" s="72" t="s">
        <v>83</v>
      </c>
      <c r="G1" s="73"/>
      <c r="H1" s="74"/>
      <c r="I1" s="72" t="s">
        <v>7</v>
      </c>
      <c r="J1" s="73"/>
      <c r="K1" s="138"/>
      <c r="L1" s="139" t="s">
        <v>88</v>
      </c>
      <c r="M1" s="140"/>
      <c r="N1" s="141"/>
      <c r="O1" s="139" t="s">
        <v>87</v>
      </c>
      <c r="P1" s="140"/>
      <c r="Q1" s="141"/>
      <c r="R1" s="139" t="s">
        <v>14</v>
      </c>
      <c r="S1" s="140"/>
      <c r="T1" s="74" t="s">
        <v>639</v>
      </c>
      <c r="U1" s="107" t="s">
        <v>640</v>
      </c>
      <c r="V1" s="56"/>
      <c r="W1" s="57"/>
      <c r="X1" s="57"/>
      <c r="Y1" s="70"/>
    </row>
    <row r="2" spans="1:30" ht="15.75">
      <c r="A2" s="179">
        <f>SUM(AA:AA)</f>
        <v>0</v>
      </c>
      <c r="B2" s="180">
        <f>SUM(AB:AB)</f>
        <v>0</v>
      </c>
      <c r="C2" s="181">
        <f>SUM(AC:AC)</f>
        <v>0</v>
      </c>
      <c r="D2" s="87" t="s">
        <v>638</v>
      </c>
      <c r="E2" s="172">
        <f>SUM(E6:E206)</f>
        <v>0</v>
      </c>
      <c r="F2" s="51" t="s">
        <v>15</v>
      </c>
      <c r="G2" s="170">
        <f>SUM(G7:G206)</f>
        <v>0</v>
      </c>
      <c r="H2" s="171">
        <f>SUM(H7:H206)</f>
        <v>0</v>
      </c>
      <c r="I2" s="51" t="s">
        <v>15</v>
      </c>
      <c r="J2" s="170">
        <f>SUM(J7:J206)</f>
        <v>0</v>
      </c>
      <c r="K2" s="169">
        <f>SUM(K7:K206)</f>
        <v>0</v>
      </c>
      <c r="L2" s="142" t="s">
        <v>15</v>
      </c>
      <c r="M2" s="167">
        <f>SUM(M7:M206)</f>
        <v>0</v>
      </c>
      <c r="N2" s="168">
        <f>SUM(N7:N206)</f>
        <v>0</v>
      </c>
      <c r="O2" s="142" t="s">
        <v>15</v>
      </c>
      <c r="P2" s="167">
        <f>SUM(P7:P206)</f>
        <v>0</v>
      </c>
      <c r="Q2" s="168">
        <f>SUM(Q7:Q206)</f>
        <v>0</v>
      </c>
      <c r="R2" s="142" t="s">
        <v>15</v>
      </c>
      <c r="S2" s="167">
        <f>SUM(S7:S206)</f>
        <v>0</v>
      </c>
      <c r="T2" s="166">
        <f>SUM(T7:T206)/AD2</f>
        <v>0</v>
      </c>
      <c r="U2" s="108" t="s">
        <v>16</v>
      </c>
      <c r="V2" s="68"/>
      <c r="W2" s="60"/>
      <c r="X2" s="60"/>
      <c r="Y2" s="70"/>
      <c r="AD2" s="58">
        <f>IF(A2+B2+C2=0,1,A2+B2+C2)</f>
        <v>1</v>
      </c>
    </row>
    <row r="3" spans="1:25" ht="13.5" thickBot="1">
      <c r="A3" s="182">
        <f>A2/AD2</f>
        <v>0</v>
      </c>
      <c r="B3" s="183">
        <f>B2/AD2</f>
        <v>0</v>
      </c>
      <c r="C3" s="184">
        <f>C2/AD2</f>
        <v>0</v>
      </c>
      <c r="D3" s="88"/>
      <c r="E3" s="173">
        <f>E2/$AD2</f>
        <v>0</v>
      </c>
      <c r="F3" s="52" t="s">
        <v>15</v>
      </c>
      <c r="G3" s="174">
        <f>G2/$AD2</f>
        <v>0</v>
      </c>
      <c r="H3" s="175">
        <f>H2/$AD2</f>
        <v>0</v>
      </c>
      <c r="I3" s="118" t="s">
        <v>15</v>
      </c>
      <c r="J3" s="174">
        <f>J2/$AD2</f>
        <v>0</v>
      </c>
      <c r="K3" s="176">
        <f>K2/AD2</f>
        <v>0</v>
      </c>
      <c r="L3" s="118" t="s">
        <v>15</v>
      </c>
      <c r="M3" s="177">
        <f>M2/AD2</f>
        <v>0</v>
      </c>
      <c r="N3" s="178">
        <f>N2/AD2</f>
        <v>0</v>
      </c>
      <c r="O3" s="52" t="s">
        <v>15</v>
      </c>
      <c r="P3" s="177">
        <f>P2/AD2</f>
        <v>0</v>
      </c>
      <c r="Q3" s="178">
        <f>Q2/AD2</f>
        <v>0</v>
      </c>
      <c r="R3" s="52" t="s">
        <v>15</v>
      </c>
      <c r="S3" s="177">
        <f>S2/AD2</f>
        <v>0</v>
      </c>
      <c r="T3" s="53"/>
      <c r="U3" s="109"/>
      <c r="V3" s="69"/>
      <c r="W3" s="70"/>
      <c r="X3" s="70"/>
      <c r="Y3" s="70"/>
    </row>
    <row r="4" spans="1:25" s="62" customFormat="1" ht="13.5" thickBot="1">
      <c r="A4" s="102"/>
      <c r="B4" s="66"/>
      <c r="C4" s="66"/>
      <c r="D4" s="89"/>
      <c r="E4" s="54"/>
      <c r="F4" s="66"/>
      <c r="G4" s="67"/>
      <c r="H4" s="272"/>
      <c r="I4" s="66"/>
      <c r="J4" s="67"/>
      <c r="K4" s="143"/>
      <c r="L4" s="144"/>
      <c r="M4" s="143"/>
      <c r="N4" s="145"/>
      <c r="O4" s="144"/>
      <c r="P4" s="143"/>
      <c r="Q4" s="145"/>
      <c r="R4" s="144"/>
      <c r="S4" s="143"/>
      <c r="T4" s="54"/>
      <c r="U4" s="55"/>
      <c r="V4" s="57"/>
      <c r="W4" s="57"/>
      <c r="X4" s="57"/>
      <c r="Y4" s="70"/>
    </row>
    <row r="5" spans="1:25" s="96" customFormat="1" ht="12.75">
      <c r="A5" s="405"/>
      <c r="B5" s="407"/>
      <c r="C5" s="406"/>
      <c r="D5" s="93" t="s">
        <v>637</v>
      </c>
      <c r="E5" s="94"/>
      <c r="F5" s="92" t="s">
        <v>6</v>
      </c>
      <c r="G5" s="95"/>
      <c r="H5" s="156"/>
      <c r="I5" s="132" t="s">
        <v>7</v>
      </c>
      <c r="J5" s="131"/>
      <c r="K5" s="134"/>
      <c r="L5" s="135" t="s">
        <v>88</v>
      </c>
      <c r="M5" s="136"/>
      <c r="N5" s="137"/>
      <c r="O5" s="135" t="s">
        <v>87</v>
      </c>
      <c r="P5" s="136"/>
      <c r="Q5" s="137"/>
      <c r="R5" s="135" t="s">
        <v>14</v>
      </c>
      <c r="S5" s="136"/>
      <c r="T5" s="405" t="s">
        <v>635</v>
      </c>
      <c r="U5" s="406"/>
      <c r="V5" s="405" t="s">
        <v>634</v>
      </c>
      <c r="W5" s="406"/>
      <c r="X5" s="233" t="s">
        <v>636</v>
      </c>
      <c r="Y5" s="230"/>
    </row>
    <row r="6" spans="1:25" s="101" customFormat="1" ht="1.5" customHeight="1">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29" s="227" customFormat="1" ht="18" customHeight="1">
      <c r="A7" s="104">
        <f>A6+1</f>
        <v>1</v>
      </c>
      <c r="B7" s="403">
        <f>IF(AA7=1,"won",IF(AB7=1,"tied",IF(AC7=1,"lost","")))</f>
      </c>
      <c r="C7" s="404"/>
      <c r="D7" s="90"/>
      <c r="E7" s="1"/>
      <c r="F7" s="76" t="s">
        <v>15</v>
      </c>
      <c r="G7" s="2"/>
      <c r="H7" s="158">
        <f aca="true" t="shared" si="0" ref="H7:H38">K7+N7+Q7</f>
        <v>0</v>
      </c>
      <c r="I7" s="76" t="s">
        <v>15</v>
      </c>
      <c r="J7" s="162">
        <f aca="true" t="shared" si="1" ref="J7:J38">M7+P7+S7</f>
        <v>0</v>
      </c>
      <c r="K7" s="153"/>
      <c r="L7" s="76" t="s">
        <v>15</v>
      </c>
      <c r="M7" s="154"/>
      <c r="N7" s="155"/>
      <c r="O7" s="76" t="s">
        <v>15</v>
      </c>
      <c r="P7" s="154"/>
      <c r="Q7" s="155"/>
      <c r="R7" s="76" t="s">
        <v>15</v>
      </c>
      <c r="S7" s="154"/>
      <c r="T7" s="3"/>
      <c r="U7" s="75" t="s">
        <v>16</v>
      </c>
      <c r="V7" s="3"/>
      <c r="W7" s="228" t="s">
        <v>17</v>
      </c>
      <c r="X7" s="270"/>
      <c r="Y7" s="231"/>
      <c r="AA7" s="227" t="b">
        <f>IF(E7&gt;G7,IF(G7&lt;&gt;"",1))</f>
        <v>0</v>
      </c>
      <c r="AB7" s="227" t="b">
        <f>IF(E7=G7,IF(G7&lt;&gt;"",1))</f>
        <v>0</v>
      </c>
      <c r="AC7" s="227" t="b">
        <f>IF(E7&lt;G7,IF(E7&lt;&gt;"",1))</f>
        <v>0</v>
      </c>
    </row>
    <row r="8" spans="1:29" s="62" customFormat="1" ht="18" customHeight="1">
      <c r="A8" s="215">
        <f>A7+1</f>
        <v>2</v>
      </c>
      <c r="B8" s="408">
        <f>IF(AA8=1,"won",IF(AB8=1,"tied",IF(AC8=1,"lost","")))</f>
      </c>
      <c r="C8" s="409"/>
      <c r="D8" s="216"/>
      <c r="E8" s="217"/>
      <c r="F8" s="218" t="s">
        <v>15</v>
      </c>
      <c r="G8" s="219"/>
      <c r="H8" s="220">
        <f t="shared" si="0"/>
        <v>0</v>
      </c>
      <c r="I8" s="218" t="s">
        <v>15</v>
      </c>
      <c r="J8" s="221">
        <f t="shared" si="1"/>
        <v>0</v>
      </c>
      <c r="K8" s="222"/>
      <c r="L8" s="218" t="s">
        <v>15</v>
      </c>
      <c r="M8" s="223"/>
      <c r="N8" s="224"/>
      <c r="O8" s="218" t="s">
        <v>15</v>
      </c>
      <c r="P8" s="223"/>
      <c r="Q8" s="224"/>
      <c r="R8" s="218" t="s">
        <v>15</v>
      </c>
      <c r="S8" s="223"/>
      <c r="T8" s="225"/>
      <c r="U8" s="226" t="s">
        <v>16</v>
      </c>
      <c r="V8" s="225"/>
      <c r="W8" s="229" t="s">
        <v>17</v>
      </c>
      <c r="X8" s="271"/>
      <c r="Y8" s="231"/>
      <c r="AA8" s="62" t="b">
        <f>IF(E8&gt;G8,IF(G8&lt;&gt;"",1))</f>
        <v>0</v>
      </c>
      <c r="AB8" s="62" t="b">
        <f>IF(E8=G8,IF(G8&lt;&gt;"",1))</f>
        <v>0</v>
      </c>
      <c r="AC8" s="62" t="b">
        <f>IF(E8&lt;G8,IF(E8&lt;&gt;"",1))</f>
        <v>0</v>
      </c>
    </row>
    <row r="9" spans="1:29" s="62" customFormat="1" ht="18" customHeight="1">
      <c r="A9" s="104">
        <f aca="true" t="shared" si="2" ref="A9:A72">A8+1</f>
        <v>3</v>
      </c>
      <c r="B9" s="403">
        <f aca="true" t="shared" si="3" ref="B9:B72">IF(AA9=1,"won",IF(AB9=1,"tied",IF(AC9=1,"lost","")))</f>
      </c>
      <c r="C9" s="404"/>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aca="true" t="shared" si="4" ref="AA9:AA72">IF(E9&gt;G9,IF(G9&lt;&gt;"",1))</f>
        <v>0</v>
      </c>
      <c r="AB9" s="62" t="b">
        <f aca="true" t="shared" si="5" ref="AB9:AB72">IF(E9=G9,IF(G9&lt;&gt;"",1))</f>
        <v>0</v>
      </c>
      <c r="AC9" s="62" t="b">
        <f aca="true" t="shared" si="6" ref="AC9:AC72">IF(E9&lt;G9,IF(E9&lt;&gt;"",1))</f>
        <v>0</v>
      </c>
    </row>
    <row r="10" spans="1:29" s="62" customFormat="1" ht="18" customHeight="1">
      <c r="A10" s="104">
        <f t="shared" si="2"/>
        <v>4</v>
      </c>
      <c r="B10" s="403">
        <f t="shared" si="3"/>
      </c>
      <c r="C10" s="404"/>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29" s="62" customFormat="1" ht="18" customHeight="1">
      <c r="A11" s="104">
        <f t="shared" si="2"/>
        <v>5</v>
      </c>
      <c r="B11" s="403">
        <f t="shared" si="3"/>
      </c>
      <c r="C11" s="404"/>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29" s="62" customFormat="1" ht="18" customHeight="1">
      <c r="A12" s="104">
        <f t="shared" si="2"/>
        <v>6</v>
      </c>
      <c r="B12" s="403">
        <f t="shared" si="3"/>
      </c>
      <c r="C12" s="404"/>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29" s="62" customFormat="1" ht="18" customHeight="1">
      <c r="A13" s="104">
        <f t="shared" si="2"/>
        <v>7</v>
      </c>
      <c r="B13" s="403">
        <f t="shared" si="3"/>
      </c>
      <c r="C13" s="404"/>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29" s="62" customFormat="1" ht="18" customHeight="1">
      <c r="A14" s="104">
        <f t="shared" si="2"/>
        <v>8</v>
      </c>
      <c r="B14" s="403">
        <f t="shared" si="3"/>
      </c>
      <c r="C14" s="404"/>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29" s="62" customFormat="1" ht="18" customHeight="1">
      <c r="A15" s="104">
        <f t="shared" si="2"/>
        <v>9</v>
      </c>
      <c r="B15" s="403">
        <f t="shared" si="3"/>
      </c>
      <c r="C15" s="404"/>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29" s="62" customFormat="1" ht="18" customHeight="1">
      <c r="A16" s="104">
        <f t="shared" si="2"/>
        <v>10</v>
      </c>
      <c r="B16" s="403">
        <f t="shared" si="3"/>
      </c>
      <c r="C16" s="404"/>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c r="A17" s="104">
        <f t="shared" si="2"/>
        <v>11</v>
      </c>
      <c r="B17" s="403">
        <f t="shared" si="3"/>
      </c>
      <c r="C17" s="404"/>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c r="A18" s="104">
        <f t="shared" si="2"/>
        <v>12</v>
      </c>
      <c r="B18" s="403">
        <f t="shared" si="3"/>
      </c>
      <c r="C18" s="404"/>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c r="A19" s="104">
        <f t="shared" si="2"/>
        <v>13</v>
      </c>
      <c r="B19" s="403">
        <f t="shared" si="3"/>
      </c>
      <c r="C19" s="404"/>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c r="A20" s="104">
        <f t="shared" si="2"/>
        <v>14</v>
      </c>
      <c r="B20" s="403">
        <f t="shared" si="3"/>
      </c>
      <c r="C20" s="404"/>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c r="A21" s="104">
        <f t="shared" si="2"/>
        <v>15</v>
      </c>
      <c r="B21" s="403">
        <f t="shared" si="3"/>
      </c>
      <c r="C21" s="404"/>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c r="A22" s="104">
        <f t="shared" si="2"/>
        <v>16</v>
      </c>
      <c r="B22" s="403">
        <f t="shared" si="3"/>
      </c>
      <c r="C22" s="404"/>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c r="A23" s="104">
        <f t="shared" si="2"/>
        <v>17</v>
      </c>
      <c r="B23" s="403">
        <f t="shared" si="3"/>
      </c>
      <c r="C23" s="404"/>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c r="A24" s="104">
        <f t="shared" si="2"/>
        <v>18</v>
      </c>
      <c r="B24" s="403">
        <f t="shared" si="3"/>
      </c>
      <c r="C24" s="404"/>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c r="A25" s="104">
        <f t="shared" si="2"/>
        <v>19</v>
      </c>
      <c r="B25" s="403">
        <f t="shared" si="3"/>
      </c>
      <c r="C25" s="404"/>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c r="A26" s="104">
        <f t="shared" si="2"/>
        <v>20</v>
      </c>
      <c r="B26" s="403">
        <f t="shared" si="3"/>
      </c>
      <c r="C26" s="404"/>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c r="A27" s="104">
        <f t="shared" si="2"/>
        <v>21</v>
      </c>
      <c r="B27" s="403">
        <f t="shared" si="3"/>
      </c>
      <c r="C27" s="404"/>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c r="A28" s="104">
        <f t="shared" si="2"/>
        <v>22</v>
      </c>
      <c r="B28" s="403">
        <f t="shared" si="3"/>
      </c>
      <c r="C28" s="404"/>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c r="A29" s="104">
        <f t="shared" si="2"/>
        <v>23</v>
      </c>
      <c r="B29" s="403">
        <f t="shared" si="3"/>
      </c>
      <c r="C29" s="404"/>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c r="A30" s="104">
        <f t="shared" si="2"/>
        <v>24</v>
      </c>
      <c r="B30" s="403">
        <f t="shared" si="3"/>
      </c>
      <c r="C30" s="404"/>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c r="A31" s="104">
        <f t="shared" si="2"/>
        <v>25</v>
      </c>
      <c r="B31" s="403">
        <f t="shared" si="3"/>
      </c>
      <c r="C31" s="404"/>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c r="A32" s="104">
        <f t="shared" si="2"/>
        <v>26</v>
      </c>
      <c r="B32" s="403">
        <f t="shared" si="3"/>
      </c>
      <c r="C32" s="404"/>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c r="A33" s="104">
        <f t="shared" si="2"/>
        <v>27</v>
      </c>
      <c r="B33" s="403">
        <f t="shared" si="3"/>
      </c>
      <c r="C33" s="404"/>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c r="A34" s="104">
        <f t="shared" si="2"/>
        <v>28</v>
      </c>
      <c r="B34" s="403">
        <f t="shared" si="3"/>
      </c>
      <c r="C34" s="404"/>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c r="A35" s="104">
        <f t="shared" si="2"/>
        <v>29</v>
      </c>
      <c r="B35" s="403">
        <f t="shared" si="3"/>
      </c>
      <c r="C35" s="404"/>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c r="A36" s="104">
        <f t="shared" si="2"/>
        <v>30</v>
      </c>
      <c r="B36" s="403">
        <f t="shared" si="3"/>
      </c>
      <c r="C36" s="404"/>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c r="A37" s="104">
        <f t="shared" si="2"/>
        <v>31</v>
      </c>
      <c r="B37" s="403">
        <f t="shared" si="3"/>
      </c>
      <c r="C37" s="404"/>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c r="A38" s="104">
        <f t="shared" si="2"/>
        <v>32</v>
      </c>
      <c r="B38" s="403">
        <f t="shared" si="3"/>
      </c>
      <c r="C38" s="404"/>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c r="A39" s="104">
        <f t="shared" si="2"/>
        <v>33</v>
      </c>
      <c r="B39" s="403">
        <f t="shared" si="3"/>
      </c>
      <c r="C39" s="404"/>
      <c r="D39" s="90"/>
      <c r="E39" s="1"/>
      <c r="F39" s="76" t="s">
        <v>15</v>
      </c>
      <c r="G39" s="2"/>
      <c r="H39" s="158">
        <f aca="true" t="shared" si="7" ref="H39:H64">K39+N39+Q39</f>
        <v>0</v>
      </c>
      <c r="I39" s="76" t="s">
        <v>15</v>
      </c>
      <c r="J39" s="162">
        <f aca="true" t="shared" si="8" ref="J39:J64">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c r="A40" s="104">
        <f t="shared" si="2"/>
        <v>34</v>
      </c>
      <c r="B40" s="403">
        <f t="shared" si="3"/>
      </c>
      <c r="C40" s="404"/>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c r="A41" s="104">
        <f t="shared" si="2"/>
        <v>35</v>
      </c>
      <c r="B41" s="403">
        <f t="shared" si="3"/>
      </c>
      <c r="C41" s="404"/>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c r="A42" s="104">
        <f t="shared" si="2"/>
        <v>36</v>
      </c>
      <c r="B42" s="403">
        <f t="shared" si="3"/>
      </c>
      <c r="C42" s="404"/>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c r="A43" s="104">
        <f t="shared" si="2"/>
        <v>37</v>
      </c>
      <c r="B43" s="403">
        <f t="shared" si="3"/>
      </c>
      <c r="C43" s="404"/>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c r="A44" s="104">
        <f t="shared" si="2"/>
        <v>38</v>
      </c>
      <c r="B44" s="403">
        <f t="shared" si="3"/>
      </c>
      <c r="C44" s="404"/>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c r="A45" s="104">
        <f t="shared" si="2"/>
        <v>39</v>
      </c>
      <c r="B45" s="403">
        <f t="shared" si="3"/>
      </c>
      <c r="C45" s="404"/>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c r="A46" s="104">
        <f t="shared" si="2"/>
        <v>40</v>
      </c>
      <c r="B46" s="403">
        <f t="shared" si="3"/>
      </c>
      <c r="C46" s="404"/>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c r="A47" s="104">
        <f t="shared" si="2"/>
        <v>41</v>
      </c>
      <c r="B47" s="403">
        <f t="shared" si="3"/>
      </c>
      <c r="C47" s="404"/>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c r="A48" s="104">
        <f t="shared" si="2"/>
        <v>42</v>
      </c>
      <c r="B48" s="403">
        <f t="shared" si="3"/>
      </c>
      <c r="C48" s="404"/>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c r="A49" s="104">
        <f t="shared" si="2"/>
        <v>43</v>
      </c>
      <c r="B49" s="403">
        <f t="shared" si="3"/>
      </c>
      <c r="C49" s="404"/>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c r="A50" s="104">
        <f t="shared" si="2"/>
        <v>44</v>
      </c>
      <c r="B50" s="403">
        <f t="shared" si="3"/>
      </c>
      <c r="C50" s="404"/>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c r="A51" s="104">
        <f t="shared" si="2"/>
        <v>45</v>
      </c>
      <c r="B51" s="403">
        <f t="shared" si="3"/>
      </c>
      <c r="C51" s="404"/>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c r="A52" s="104">
        <f t="shared" si="2"/>
        <v>46</v>
      </c>
      <c r="B52" s="403">
        <f t="shared" si="3"/>
      </c>
      <c r="C52" s="404"/>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c r="A53" s="104">
        <f t="shared" si="2"/>
        <v>47</v>
      </c>
      <c r="B53" s="403">
        <f t="shared" si="3"/>
      </c>
      <c r="C53" s="404"/>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c r="A54" s="104">
        <f t="shared" si="2"/>
        <v>48</v>
      </c>
      <c r="B54" s="403">
        <f t="shared" si="3"/>
      </c>
      <c r="C54" s="404"/>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c r="A55" s="104">
        <f t="shared" si="2"/>
        <v>49</v>
      </c>
      <c r="B55" s="403">
        <f t="shared" si="3"/>
      </c>
      <c r="C55" s="404"/>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c r="A56" s="104">
        <f t="shared" si="2"/>
        <v>50</v>
      </c>
      <c r="B56" s="403">
        <f t="shared" si="3"/>
      </c>
      <c r="C56" s="404"/>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c r="A57" s="104">
        <f t="shared" si="2"/>
        <v>51</v>
      </c>
      <c r="B57" s="403">
        <f t="shared" si="3"/>
      </c>
      <c r="C57" s="404"/>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c r="A58" s="104">
        <f t="shared" si="2"/>
        <v>52</v>
      </c>
      <c r="B58" s="403">
        <f t="shared" si="3"/>
      </c>
      <c r="C58" s="404"/>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c r="A59" s="104">
        <f t="shared" si="2"/>
        <v>53</v>
      </c>
      <c r="B59" s="403">
        <f t="shared" si="3"/>
      </c>
      <c r="C59" s="404"/>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c r="A60" s="104">
        <f t="shared" si="2"/>
        <v>54</v>
      </c>
      <c r="B60" s="403">
        <f t="shared" si="3"/>
      </c>
      <c r="C60" s="404"/>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c r="A61" s="104">
        <f t="shared" si="2"/>
        <v>55</v>
      </c>
      <c r="B61" s="403">
        <f t="shared" si="3"/>
      </c>
      <c r="C61" s="404"/>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c r="A62" s="104">
        <f t="shared" si="2"/>
        <v>56</v>
      </c>
      <c r="B62" s="403">
        <f t="shared" si="3"/>
      </c>
      <c r="C62" s="404"/>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c r="A63" s="104">
        <f t="shared" si="2"/>
        <v>57</v>
      </c>
      <c r="B63" s="403">
        <f t="shared" si="3"/>
      </c>
      <c r="C63" s="404"/>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c r="A64" s="104">
        <f t="shared" si="2"/>
        <v>58</v>
      </c>
      <c r="B64" s="403">
        <f t="shared" si="3"/>
      </c>
      <c r="C64" s="404"/>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c r="A65" s="104">
        <f t="shared" si="2"/>
        <v>59</v>
      </c>
      <c r="B65" s="403">
        <f t="shared" si="3"/>
      </c>
      <c r="C65" s="404"/>
      <c r="D65" s="90"/>
      <c r="E65" s="1"/>
      <c r="F65" s="76" t="s">
        <v>15</v>
      </c>
      <c r="G65" s="2"/>
      <c r="H65" s="158">
        <f aca="true" t="shared" si="9" ref="H65:H128">K65+N65+Q65</f>
        <v>0</v>
      </c>
      <c r="I65" s="76" t="s">
        <v>15</v>
      </c>
      <c r="J65" s="162">
        <f aca="true" t="shared" si="10" ref="J65:J128">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c r="A66" s="104">
        <f t="shared" si="2"/>
        <v>60</v>
      </c>
      <c r="B66" s="403">
        <f t="shared" si="3"/>
      </c>
      <c r="C66" s="404"/>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c r="A67" s="104">
        <f t="shared" si="2"/>
        <v>61</v>
      </c>
      <c r="B67" s="403">
        <f t="shared" si="3"/>
      </c>
      <c r="C67" s="404"/>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c r="A68" s="104">
        <f t="shared" si="2"/>
        <v>62</v>
      </c>
      <c r="B68" s="403">
        <f t="shared" si="3"/>
      </c>
      <c r="C68" s="404"/>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c r="A69" s="104">
        <f t="shared" si="2"/>
        <v>63</v>
      </c>
      <c r="B69" s="403">
        <f t="shared" si="3"/>
      </c>
      <c r="C69" s="404"/>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c r="A70" s="104">
        <f t="shared" si="2"/>
        <v>64</v>
      </c>
      <c r="B70" s="403">
        <f t="shared" si="3"/>
      </c>
      <c r="C70" s="404"/>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c r="A71" s="104">
        <f t="shared" si="2"/>
        <v>65</v>
      </c>
      <c r="B71" s="403">
        <f t="shared" si="3"/>
      </c>
      <c r="C71" s="404"/>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c r="A72" s="104">
        <f t="shared" si="2"/>
        <v>66</v>
      </c>
      <c r="B72" s="403">
        <f t="shared" si="3"/>
      </c>
      <c r="C72" s="404"/>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c r="A73" s="104">
        <f aca="true" t="shared" si="11" ref="A73:A136">A72+1</f>
        <v>67</v>
      </c>
      <c r="B73" s="403">
        <f aca="true" t="shared" si="12" ref="B73:B136">IF(AA73=1,"won",IF(AB73=1,"tied",IF(AC73=1,"lost","")))</f>
      </c>
      <c r="C73" s="404"/>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aca="true" t="shared" si="13" ref="AA73:AA136">IF(E73&gt;G73,IF(G73&lt;&gt;"",1))</f>
        <v>0</v>
      </c>
      <c r="AB73" s="62" t="b">
        <f aca="true" t="shared" si="14" ref="AB73:AB136">IF(E73=G73,IF(G73&lt;&gt;"",1))</f>
        <v>0</v>
      </c>
      <c r="AC73" s="62" t="b">
        <f aca="true" t="shared" si="15" ref="AC73:AC136">IF(E73&lt;G73,IF(E73&lt;&gt;"",1))</f>
        <v>0</v>
      </c>
    </row>
    <row r="74" spans="1:29" s="62" customFormat="1" ht="18" customHeight="1">
      <c r="A74" s="104">
        <f t="shared" si="11"/>
        <v>68</v>
      </c>
      <c r="B74" s="403">
        <f t="shared" si="12"/>
      </c>
      <c r="C74" s="404"/>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c r="A75" s="104">
        <f t="shared" si="11"/>
        <v>69</v>
      </c>
      <c r="B75" s="403">
        <f t="shared" si="12"/>
      </c>
      <c r="C75" s="404"/>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c r="A76" s="104">
        <f t="shared" si="11"/>
        <v>70</v>
      </c>
      <c r="B76" s="403">
        <f t="shared" si="12"/>
      </c>
      <c r="C76" s="404"/>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c r="A77" s="104">
        <f t="shared" si="11"/>
        <v>71</v>
      </c>
      <c r="B77" s="403">
        <f t="shared" si="12"/>
      </c>
      <c r="C77" s="404"/>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c r="A78" s="104">
        <f t="shared" si="11"/>
        <v>72</v>
      </c>
      <c r="B78" s="403">
        <f t="shared" si="12"/>
      </c>
      <c r="C78" s="404"/>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c r="A79" s="104">
        <f t="shared" si="11"/>
        <v>73</v>
      </c>
      <c r="B79" s="403">
        <f t="shared" si="12"/>
      </c>
      <c r="C79" s="404"/>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c r="A80" s="104">
        <f t="shared" si="11"/>
        <v>74</v>
      </c>
      <c r="B80" s="403">
        <f t="shared" si="12"/>
      </c>
      <c r="C80" s="404"/>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c r="A81" s="104">
        <f t="shared" si="11"/>
        <v>75</v>
      </c>
      <c r="B81" s="403">
        <f t="shared" si="12"/>
      </c>
      <c r="C81" s="404"/>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c r="A82" s="104">
        <f t="shared" si="11"/>
        <v>76</v>
      </c>
      <c r="B82" s="403">
        <f t="shared" si="12"/>
      </c>
      <c r="C82" s="404"/>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c r="A83" s="104">
        <f t="shared" si="11"/>
        <v>77</v>
      </c>
      <c r="B83" s="403">
        <f t="shared" si="12"/>
      </c>
      <c r="C83" s="404"/>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c r="A84" s="104">
        <f t="shared" si="11"/>
        <v>78</v>
      </c>
      <c r="B84" s="403">
        <f t="shared" si="12"/>
      </c>
      <c r="C84" s="404"/>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c r="A85" s="104">
        <f t="shared" si="11"/>
        <v>79</v>
      </c>
      <c r="B85" s="403">
        <f t="shared" si="12"/>
      </c>
      <c r="C85" s="404"/>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c r="A86" s="104">
        <f t="shared" si="11"/>
        <v>80</v>
      </c>
      <c r="B86" s="403">
        <f t="shared" si="12"/>
      </c>
      <c r="C86" s="404"/>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c r="A87" s="104">
        <f t="shared" si="11"/>
        <v>81</v>
      </c>
      <c r="B87" s="403">
        <f t="shared" si="12"/>
      </c>
      <c r="C87" s="404"/>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c r="A88" s="104">
        <f t="shared" si="11"/>
        <v>82</v>
      </c>
      <c r="B88" s="403">
        <f t="shared" si="12"/>
      </c>
      <c r="C88" s="404"/>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c r="A89" s="104">
        <f t="shared" si="11"/>
        <v>83</v>
      </c>
      <c r="B89" s="403">
        <f t="shared" si="12"/>
      </c>
      <c r="C89" s="404"/>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c r="A90" s="104">
        <f t="shared" si="11"/>
        <v>84</v>
      </c>
      <c r="B90" s="403">
        <f t="shared" si="12"/>
      </c>
      <c r="C90" s="404"/>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c r="A91" s="104">
        <f t="shared" si="11"/>
        <v>85</v>
      </c>
      <c r="B91" s="403">
        <f t="shared" si="12"/>
      </c>
      <c r="C91" s="404"/>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c r="A92" s="104">
        <f t="shared" si="11"/>
        <v>86</v>
      </c>
      <c r="B92" s="403">
        <f t="shared" si="12"/>
      </c>
      <c r="C92" s="404"/>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c r="A93" s="104">
        <f t="shared" si="11"/>
        <v>87</v>
      </c>
      <c r="B93" s="403">
        <f t="shared" si="12"/>
      </c>
      <c r="C93" s="404"/>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c r="A94" s="104">
        <f t="shared" si="11"/>
        <v>88</v>
      </c>
      <c r="B94" s="403">
        <f t="shared" si="12"/>
      </c>
      <c r="C94" s="404"/>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c r="A95" s="104">
        <f t="shared" si="11"/>
        <v>89</v>
      </c>
      <c r="B95" s="403">
        <f t="shared" si="12"/>
      </c>
      <c r="C95" s="404"/>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c r="A96" s="104">
        <f t="shared" si="11"/>
        <v>90</v>
      </c>
      <c r="B96" s="403">
        <f t="shared" si="12"/>
      </c>
      <c r="C96" s="404"/>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c r="A97" s="104">
        <f t="shared" si="11"/>
        <v>91</v>
      </c>
      <c r="B97" s="403">
        <f t="shared" si="12"/>
      </c>
      <c r="C97" s="404"/>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c r="A98" s="104">
        <f t="shared" si="11"/>
        <v>92</v>
      </c>
      <c r="B98" s="403">
        <f t="shared" si="12"/>
      </c>
      <c r="C98" s="404"/>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c r="A99" s="104">
        <f t="shared" si="11"/>
        <v>93</v>
      </c>
      <c r="B99" s="403">
        <f t="shared" si="12"/>
      </c>
      <c r="C99" s="404"/>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c r="A100" s="104">
        <f t="shared" si="11"/>
        <v>94</v>
      </c>
      <c r="B100" s="403">
        <f t="shared" si="12"/>
      </c>
      <c r="C100" s="404"/>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c r="A101" s="104">
        <f t="shared" si="11"/>
        <v>95</v>
      </c>
      <c r="B101" s="403">
        <f t="shared" si="12"/>
      </c>
      <c r="C101" s="404"/>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c r="A102" s="104">
        <f t="shared" si="11"/>
        <v>96</v>
      </c>
      <c r="B102" s="403">
        <f t="shared" si="12"/>
      </c>
      <c r="C102" s="404"/>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c r="A103" s="104">
        <f t="shared" si="11"/>
        <v>97</v>
      </c>
      <c r="B103" s="403">
        <f t="shared" si="12"/>
      </c>
      <c r="C103" s="404"/>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c r="A104" s="104">
        <f t="shared" si="11"/>
        <v>98</v>
      </c>
      <c r="B104" s="403">
        <f t="shared" si="12"/>
      </c>
      <c r="C104" s="404"/>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c r="A105" s="104">
        <f t="shared" si="11"/>
        <v>99</v>
      </c>
      <c r="B105" s="403">
        <f t="shared" si="12"/>
      </c>
      <c r="C105" s="404"/>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c r="A106" s="104">
        <f t="shared" si="11"/>
        <v>100</v>
      </c>
      <c r="B106" s="403">
        <f t="shared" si="12"/>
      </c>
      <c r="C106" s="404"/>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c r="A107" s="104">
        <f t="shared" si="11"/>
        <v>101</v>
      </c>
      <c r="B107" s="403">
        <f t="shared" si="12"/>
      </c>
      <c r="C107" s="404"/>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c r="A108" s="104">
        <f t="shared" si="11"/>
        <v>102</v>
      </c>
      <c r="B108" s="403">
        <f t="shared" si="12"/>
      </c>
      <c r="C108" s="404"/>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c r="A109" s="104">
        <f t="shared" si="11"/>
        <v>103</v>
      </c>
      <c r="B109" s="403">
        <f t="shared" si="12"/>
      </c>
      <c r="C109" s="404"/>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c r="A110" s="104">
        <f t="shared" si="11"/>
        <v>104</v>
      </c>
      <c r="B110" s="403">
        <f t="shared" si="12"/>
      </c>
      <c r="C110" s="404"/>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c r="A111" s="104">
        <f t="shared" si="11"/>
        <v>105</v>
      </c>
      <c r="B111" s="403">
        <f t="shared" si="12"/>
      </c>
      <c r="C111" s="404"/>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c r="A112" s="104">
        <f t="shared" si="11"/>
        <v>106</v>
      </c>
      <c r="B112" s="403">
        <f t="shared" si="12"/>
      </c>
      <c r="C112" s="404"/>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c r="A113" s="104">
        <f t="shared" si="11"/>
        <v>107</v>
      </c>
      <c r="B113" s="403">
        <f t="shared" si="12"/>
      </c>
      <c r="C113" s="404"/>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c r="A114" s="104">
        <f t="shared" si="11"/>
        <v>108</v>
      </c>
      <c r="B114" s="403">
        <f t="shared" si="12"/>
      </c>
      <c r="C114" s="404"/>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c r="A115" s="104">
        <f t="shared" si="11"/>
        <v>109</v>
      </c>
      <c r="B115" s="403">
        <f t="shared" si="12"/>
      </c>
      <c r="C115" s="404"/>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c r="A116" s="104">
        <f t="shared" si="11"/>
        <v>110</v>
      </c>
      <c r="B116" s="403">
        <f t="shared" si="12"/>
      </c>
      <c r="C116" s="404"/>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c r="A117" s="104">
        <f t="shared" si="11"/>
        <v>111</v>
      </c>
      <c r="B117" s="403">
        <f t="shared" si="12"/>
      </c>
      <c r="C117" s="404"/>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c r="A118" s="104">
        <f t="shared" si="11"/>
        <v>112</v>
      </c>
      <c r="B118" s="403">
        <f t="shared" si="12"/>
      </c>
      <c r="C118" s="404"/>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c r="A119" s="104">
        <f t="shared" si="11"/>
        <v>113</v>
      </c>
      <c r="B119" s="403">
        <f t="shared" si="12"/>
      </c>
      <c r="C119" s="404"/>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c r="A120" s="104">
        <f t="shared" si="11"/>
        <v>114</v>
      </c>
      <c r="B120" s="403">
        <f t="shared" si="12"/>
      </c>
      <c r="C120" s="404"/>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c r="A121" s="104">
        <f t="shared" si="11"/>
        <v>115</v>
      </c>
      <c r="B121" s="403">
        <f t="shared" si="12"/>
      </c>
      <c r="C121" s="404"/>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c r="A122" s="104">
        <f t="shared" si="11"/>
        <v>116</v>
      </c>
      <c r="B122" s="403">
        <f t="shared" si="12"/>
      </c>
      <c r="C122" s="404"/>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c r="A123" s="104">
        <f t="shared" si="11"/>
        <v>117</v>
      </c>
      <c r="B123" s="403">
        <f t="shared" si="12"/>
      </c>
      <c r="C123" s="404"/>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c r="A124" s="104">
        <f t="shared" si="11"/>
        <v>118</v>
      </c>
      <c r="B124" s="403">
        <f t="shared" si="12"/>
      </c>
      <c r="C124" s="404"/>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c r="A125" s="104">
        <f t="shared" si="11"/>
        <v>119</v>
      </c>
      <c r="B125" s="403">
        <f t="shared" si="12"/>
      </c>
      <c r="C125" s="404"/>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c r="A126" s="104">
        <f t="shared" si="11"/>
        <v>120</v>
      </c>
      <c r="B126" s="403">
        <f t="shared" si="12"/>
      </c>
      <c r="C126" s="404"/>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c r="A127" s="104">
        <f t="shared" si="11"/>
        <v>121</v>
      </c>
      <c r="B127" s="403">
        <f t="shared" si="12"/>
      </c>
      <c r="C127" s="404"/>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c r="A128" s="104">
        <f t="shared" si="11"/>
        <v>122</v>
      </c>
      <c r="B128" s="403">
        <f t="shared" si="12"/>
      </c>
      <c r="C128" s="404"/>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c r="A129" s="104">
        <f t="shared" si="11"/>
        <v>123</v>
      </c>
      <c r="B129" s="403">
        <f t="shared" si="12"/>
      </c>
      <c r="C129" s="404"/>
      <c r="D129" s="90"/>
      <c r="E129" s="1"/>
      <c r="F129" s="76" t="s">
        <v>15</v>
      </c>
      <c r="G129" s="2"/>
      <c r="H129" s="158">
        <f aca="true" t="shared" si="16" ref="H129:H170">K129+N129+Q129</f>
        <v>0</v>
      </c>
      <c r="I129" s="76" t="s">
        <v>15</v>
      </c>
      <c r="J129" s="162">
        <f aca="true" t="shared" si="17" ref="J129:J168">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c r="A130" s="104">
        <f t="shared" si="11"/>
        <v>124</v>
      </c>
      <c r="B130" s="403">
        <f t="shared" si="12"/>
      </c>
      <c r="C130" s="404"/>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c r="A131" s="104">
        <f t="shared" si="11"/>
        <v>125</v>
      </c>
      <c r="B131" s="403">
        <f t="shared" si="12"/>
      </c>
      <c r="C131" s="404"/>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c r="A132" s="104">
        <f t="shared" si="11"/>
        <v>126</v>
      </c>
      <c r="B132" s="403">
        <f t="shared" si="12"/>
      </c>
      <c r="C132" s="404"/>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c r="A133" s="104">
        <f t="shared" si="11"/>
        <v>127</v>
      </c>
      <c r="B133" s="403">
        <f t="shared" si="12"/>
      </c>
      <c r="C133" s="404"/>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c r="A134" s="104">
        <f t="shared" si="11"/>
        <v>128</v>
      </c>
      <c r="B134" s="403">
        <f t="shared" si="12"/>
      </c>
      <c r="C134" s="404"/>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c r="A135" s="104">
        <f t="shared" si="11"/>
        <v>129</v>
      </c>
      <c r="B135" s="403">
        <f t="shared" si="12"/>
      </c>
      <c r="C135" s="404"/>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c r="A136" s="104">
        <f t="shared" si="11"/>
        <v>130</v>
      </c>
      <c r="B136" s="403">
        <f t="shared" si="12"/>
      </c>
      <c r="C136" s="404"/>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c r="A137" s="104">
        <f aca="true" t="shared" si="18" ref="A137:A200">A136+1</f>
        <v>131</v>
      </c>
      <c r="B137" s="403">
        <f aca="true" t="shared" si="19" ref="B137:B200">IF(AA137=1,"won",IF(AB137=1,"tied",IF(AC137=1,"lost","")))</f>
      </c>
      <c r="C137" s="404"/>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aca="true" t="shared" si="20" ref="AA137:AA200">IF(E137&gt;G137,IF(G137&lt;&gt;"",1))</f>
        <v>0</v>
      </c>
      <c r="AB137" s="62" t="b">
        <f aca="true" t="shared" si="21" ref="AB137:AB200">IF(E137=G137,IF(G137&lt;&gt;"",1))</f>
        <v>0</v>
      </c>
      <c r="AC137" s="62" t="b">
        <f aca="true" t="shared" si="22" ref="AC137:AC200">IF(E137&lt;G137,IF(E137&lt;&gt;"",1))</f>
        <v>0</v>
      </c>
    </row>
    <row r="138" spans="1:29" s="62" customFormat="1" ht="18" customHeight="1">
      <c r="A138" s="104">
        <f t="shared" si="18"/>
        <v>132</v>
      </c>
      <c r="B138" s="403">
        <f t="shared" si="19"/>
      </c>
      <c r="C138" s="404"/>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c r="A139" s="104">
        <f t="shared" si="18"/>
        <v>133</v>
      </c>
      <c r="B139" s="403">
        <f t="shared" si="19"/>
      </c>
      <c r="C139" s="404"/>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c r="A140" s="104">
        <f t="shared" si="18"/>
        <v>134</v>
      </c>
      <c r="B140" s="403">
        <f t="shared" si="19"/>
      </c>
      <c r="C140" s="404"/>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c r="A141" s="104">
        <f t="shared" si="18"/>
        <v>135</v>
      </c>
      <c r="B141" s="403">
        <f t="shared" si="19"/>
      </c>
      <c r="C141" s="404"/>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c r="A142" s="104">
        <f t="shared" si="18"/>
        <v>136</v>
      </c>
      <c r="B142" s="403">
        <f t="shared" si="19"/>
      </c>
      <c r="C142" s="404"/>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c r="A143" s="104">
        <f t="shared" si="18"/>
        <v>137</v>
      </c>
      <c r="B143" s="403">
        <f t="shared" si="19"/>
      </c>
      <c r="C143" s="404"/>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c r="A144" s="104">
        <f t="shared" si="18"/>
        <v>138</v>
      </c>
      <c r="B144" s="403">
        <f t="shared" si="19"/>
      </c>
      <c r="C144" s="404"/>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c r="A145" s="104">
        <f t="shared" si="18"/>
        <v>139</v>
      </c>
      <c r="B145" s="403">
        <f t="shared" si="19"/>
      </c>
      <c r="C145" s="404"/>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c r="A146" s="104">
        <f t="shared" si="18"/>
        <v>140</v>
      </c>
      <c r="B146" s="403">
        <f t="shared" si="19"/>
      </c>
      <c r="C146" s="404"/>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c r="A147" s="104">
        <f t="shared" si="18"/>
        <v>141</v>
      </c>
      <c r="B147" s="403">
        <f t="shared" si="19"/>
      </c>
      <c r="C147" s="404"/>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c r="A148" s="104">
        <f t="shared" si="18"/>
        <v>142</v>
      </c>
      <c r="B148" s="403">
        <f t="shared" si="19"/>
      </c>
      <c r="C148" s="404"/>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c r="A149" s="104">
        <f t="shared" si="18"/>
        <v>143</v>
      </c>
      <c r="B149" s="403">
        <f t="shared" si="19"/>
      </c>
      <c r="C149" s="404"/>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c r="A150" s="104">
        <f t="shared" si="18"/>
        <v>144</v>
      </c>
      <c r="B150" s="403">
        <f t="shared" si="19"/>
      </c>
      <c r="C150" s="404"/>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c r="A151" s="104">
        <f t="shared" si="18"/>
        <v>145</v>
      </c>
      <c r="B151" s="403">
        <f t="shared" si="19"/>
      </c>
      <c r="C151" s="404"/>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c r="A152" s="104">
        <f t="shared" si="18"/>
        <v>146</v>
      </c>
      <c r="B152" s="403">
        <f t="shared" si="19"/>
      </c>
      <c r="C152" s="404"/>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c r="A153" s="104">
        <f t="shared" si="18"/>
        <v>147</v>
      </c>
      <c r="B153" s="403">
        <f t="shared" si="19"/>
      </c>
      <c r="C153" s="404"/>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c r="A154" s="104">
        <f t="shared" si="18"/>
        <v>148</v>
      </c>
      <c r="B154" s="403">
        <f t="shared" si="19"/>
      </c>
      <c r="C154" s="404"/>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c r="A155" s="104">
        <f t="shared" si="18"/>
        <v>149</v>
      </c>
      <c r="B155" s="403">
        <f t="shared" si="19"/>
      </c>
      <c r="C155" s="404"/>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c r="A156" s="104">
        <f t="shared" si="18"/>
        <v>150</v>
      </c>
      <c r="B156" s="403">
        <f t="shared" si="19"/>
      </c>
      <c r="C156" s="404"/>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c r="A157" s="104">
        <f t="shared" si="18"/>
        <v>151</v>
      </c>
      <c r="B157" s="403">
        <f t="shared" si="19"/>
      </c>
      <c r="C157" s="404"/>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c r="A158" s="104">
        <f t="shared" si="18"/>
        <v>152</v>
      </c>
      <c r="B158" s="403">
        <f t="shared" si="19"/>
      </c>
      <c r="C158" s="404"/>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c r="A159" s="104">
        <f t="shared" si="18"/>
        <v>153</v>
      </c>
      <c r="B159" s="403">
        <f t="shared" si="19"/>
      </c>
      <c r="C159" s="404"/>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c r="A160" s="104">
        <f t="shared" si="18"/>
        <v>154</v>
      </c>
      <c r="B160" s="403">
        <f t="shared" si="19"/>
      </c>
      <c r="C160" s="404"/>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c r="A161" s="104">
        <f t="shared" si="18"/>
        <v>155</v>
      </c>
      <c r="B161" s="403">
        <f t="shared" si="19"/>
      </c>
      <c r="C161" s="404"/>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c r="A162" s="104">
        <f t="shared" si="18"/>
        <v>156</v>
      </c>
      <c r="B162" s="403">
        <f t="shared" si="19"/>
      </c>
      <c r="C162" s="404"/>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c r="A163" s="104">
        <f t="shared" si="18"/>
        <v>157</v>
      </c>
      <c r="B163" s="403">
        <f t="shared" si="19"/>
      </c>
      <c r="C163" s="404"/>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c r="A164" s="104">
        <f t="shared" si="18"/>
        <v>158</v>
      </c>
      <c r="B164" s="403">
        <f t="shared" si="19"/>
      </c>
      <c r="C164" s="404"/>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c r="A165" s="104">
        <f t="shared" si="18"/>
        <v>159</v>
      </c>
      <c r="B165" s="403">
        <f t="shared" si="19"/>
      </c>
      <c r="C165" s="404"/>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c r="A166" s="104">
        <f t="shared" si="18"/>
        <v>160</v>
      </c>
      <c r="B166" s="403">
        <f t="shared" si="19"/>
      </c>
      <c r="C166" s="404"/>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c r="A167" s="104">
        <f t="shared" si="18"/>
        <v>161</v>
      </c>
      <c r="B167" s="403">
        <f t="shared" si="19"/>
      </c>
      <c r="C167" s="404"/>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c r="A168" s="104">
        <f t="shared" si="18"/>
        <v>162</v>
      </c>
      <c r="B168" s="403">
        <f t="shared" si="19"/>
      </c>
      <c r="C168" s="404"/>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c r="A169" s="104">
        <f t="shared" si="18"/>
        <v>163</v>
      </c>
      <c r="B169" s="403">
        <f t="shared" si="19"/>
      </c>
      <c r="C169" s="404"/>
      <c r="D169" s="90"/>
      <c r="E169" s="1"/>
      <c r="F169" s="76" t="s">
        <v>15</v>
      </c>
      <c r="G169" s="2"/>
      <c r="H169" s="158">
        <f t="shared" si="16"/>
        <v>0</v>
      </c>
      <c r="I169" s="76" t="s">
        <v>15</v>
      </c>
      <c r="J169" s="162">
        <f aca="true" t="shared" si="23" ref="J169:J206">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c r="A170" s="104">
        <f t="shared" si="18"/>
        <v>164</v>
      </c>
      <c r="B170" s="403">
        <f t="shared" si="19"/>
      </c>
      <c r="C170" s="404"/>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c r="A171" s="104">
        <f t="shared" si="18"/>
        <v>165</v>
      </c>
      <c r="B171" s="403">
        <f t="shared" si="19"/>
      </c>
      <c r="C171" s="404"/>
      <c r="D171" s="90"/>
      <c r="E171" s="1"/>
      <c r="F171" s="76" t="s">
        <v>15</v>
      </c>
      <c r="G171" s="2"/>
      <c r="H171" s="158">
        <f aca="true" t="shared" si="24" ref="H171:H206">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c r="A172" s="104">
        <f t="shared" si="18"/>
        <v>166</v>
      </c>
      <c r="B172" s="403">
        <f t="shared" si="19"/>
      </c>
      <c r="C172" s="404"/>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c r="A173" s="104">
        <f t="shared" si="18"/>
        <v>167</v>
      </c>
      <c r="B173" s="403">
        <f t="shared" si="19"/>
      </c>
      <c r="C173" s="404"/>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c r="A174" s="104">
        <f t="shared" si="18"/>
        <v>168</v>
      </c>
      <c r="B174" s="403">
        <f t="shared" si="19"/>
      </c>
      <c r="C174" s="404"/>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c r="A175" s="104">
        <f t="shared" si="18"/>
        <v>169</v>
      </c>
      <c r="B175" s="403">
        <f t="shared" si="19"/>
      </c>
      <c r="C175" s="404"/>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c r="A176" s="104">
        <f t="shared" si="18"/>
        <v>170</v>
      </c>
      <c r="B176" s="403">
        <f t="shared" si="19"/>
      </c>
      <c r="C176" s="404"/>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c r="A177" s="104">
        <f t="shared" si="18"/>
        <v>171</v>
      </c>
      <c r="B177" s="403">
        <f t="shared" si="19"/>
      </c>
      <c r="C177" s="404"/>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c r="A178" s="104">
        <f t="shared" si="18"/>
        <v>172</v>
      </c>
      <c r="B178" s="403">
        <f t="shared" si="19"/>
      </c>
      <c r="C178" s="404"/>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c r="A179" s="104">
        <f t="shared" si="18"/>
        <v>173</v>
      </c>
      <c r="B179" s="403">
        <f t="shared" si="19"/>
      </c>
      <c r="C179" s="404"/>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c r="A180" s="104">
        <f t="shared" si="18"/>
        <v>174</v>
      </c>
      <c r="B180" s="403">
        <f t="shared" si="19"/>
      </c>
      <c r="C180" s="404"/>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c r="A181" s="104">
        <f t="shared" si="18"/>
        <v>175</v>
      </c>
      <c r="B181" s="403">
        <f t="shared" si="19"/>
      </c>
      <c r="C181" s="404"/>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c r="A182" s="104">
        <f t="shared" si="18"/>
        <v>176</v>
      </c>
      <c r="B182" s="403">
        <f t="shared" si="19"/>
      </c>
      <c r="C182" s="404"/>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c r="A183" s="104">
        <f t="shared" si="18"/>
        <v>177</v>
      </c>
      <c r="B183" s="403">
        <f t="shared" si="19"/>
      </c>
      <c r="C183" s="404"/>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c r="A184" s="104">
        <f t="shared" si="18"/>
        <v>178</v>
      </c>
      <c r="B184" s="403">
        <f t="shared" si="19"/>
      </c>
      <c r="C184" s="404"/>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c r="A185" s="104">
        <f t="shared" si="18"/>
        <v>179</v>
      </c>
      <c r="B185" s="403">
        <f t="shared" si="19"/>
      </c>
      <c r="C185" s="404"/>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c r="A186" s="104">
        <f t="shared" si="18"/>
        <v>180</v>
      </c>
      <c r="B186" s="403">
        <f t="shared" si="19"/>
      </c>
      <c r="C186" s="404"/>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c r="A187" s="104">
        <f t="shared" si="18"/>
        <v>181</v>
      </c>
      <c r="B187" s="403">
        <f t="shared" si="19"/>
      </c>
      <c r="C187" s="404"/>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c r="A188" s="104">
        <f t="shared" si="18"/>
        <v>182</v>
      </c>
      <c r="B188" s="403">
        <f t="shared" si="19"/>
      </c>
      <c r="C188" s="404"/>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c r="A189" s="104">
        <f t="shared" si="18"/>
        <v>183</v>
      </c>
      <c r="B189" s="403">
        <f t="shared" si="19"/>
      </c>
      <c r="C189" s="404"/>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c r="A190" s="104">
        <f t="shared" si="18"/>
        <v>184</v>
      </c>
      <c r="B190" s="403">
        <f t="shared" si="19"/>
      </c>
      <c r="C190" s="404"/>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c r="A191" s="104">
        <f t="shared" si="18"/>
        <v>185</v>
      </c>
      <c r="B191" s="403">
        <f t="shared" si="19"/>
      </c>
      <c r="C191" s="404"/>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c r="A192" s="104">
        <f t="shared" si="18"/>
        <v>186</v>
      </c>
      <c r="B192" s="403">
        <f t="shared" si="19"/>
      </c>
      <c r="C192" s="404"/>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c r="A193" s="104">
        <f t="shared" si="18"/>
        <v>187</v>
      </c>
      <c r="B193" s="403">
        <f t="shared" si="19"/>
      </c>
      <c r="C193" s="404"/>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c r="A194" s="104">
        <f t="shared" si="18"/>
        <v>188</v>
      </c>
      <c r="B194" s="403">
        <f t="shared" si="19"/>
      </c>
      <c r="C194" s="404"/>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c r="A195" s="104">
        <f t="shared" si="18"/>
        <v>189</v>
      </c>
      <c r="B195" s="403">
        <f t="shared" si="19"/>
      </c>
      <c r="C195" s="404"/>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c r="A196" s="104">
        <f t="shared" si="18"/>
        <v>190</v>
      </c>
      <c r="B196" s="403">
        <f t="shared" si="19"/>
      </c>
      <c r="C196" s="404"/>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c r="A197" s="104">
        <f t="shared" si="18"/>
        <v>191</v>
      </c>
      <c r="B197" s="403">
        <f t="shared" si="19"/>
      </c>
      <c r="C197" s="404"/>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c r="A198" s="104">
        <f t="shared" si="18"/>
        <v>192</v>
      </c>
      <c r="B198" s="403">
        <f t="shared" si="19"/>
      </c>
      <c r="C198" s="404"/>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c r="A199" s="104">
        <f t="shared" si="18"/>
        <v>193</v>
      </c>
      <c r="B199" s="403">
        <f t="shared" si="19"/>
      </c>
      <c r="C199" s="404"/>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c r="A200" s="104">
        <f t="shared" si="18"/>
        <v>194</v>
      </c>
      <c r="B200" s="403">
        <f t="shared" si="19"/>
      </c>
      <c r="C200" s="404"/>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c r="A201" s="104">
        <f aca="true" t="shared" si="25" ref="A201:A206">A200+1</f>
        <v>195</v>
      </c>
      <c r="B201" s="403">
        <f aca="true" t="shared" si="26" ref="B201:B206">IF(AA201=1,"won",IF(AB201=1,"tied",IF(AC201=1,"lost","")))</f>
      </c>
      <c r="C201" s="404"/>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aca="true" t="shared" si="27" ref="AA201:AA206">IF(E201&gt;G201,IF(G201&lt;&gt;"",1))</f>
        <v>0</v>
      </c>
      <c r="AB201" s="62" t="b">
        <f aca="true" t="shared" si="28" ref="AB201:AB206">IF(E201=G201,IF(G201&lt;&gt;"",1))</f>
        <v>0</v>
      </c>
      <c r="AC201" s="62" t="b">
        <f aca="true" t="shared" si="29" ref="AC201:AC206">IF(E201&lt;G201,IF(E201&lt;&gt;"",1))</f>
        <v>0</v>
      </c>
    </row>
    <row r="202" spans="1:29" s="62" customFormat="1" ht="18" customHeight="1">
      <c r="A202" s="104">
        <f t="shared" si="25"/>
        <v>196</v>
      </c>
      <c r="B202" s="403">
        <f t="shared" si="26"/>
      </c>
      <c r="C202" s="404"/>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c r="A203" s="104">
        <f t="shared" si="25"/>
        <v>197</v>
      </c>
      <c r="B203" s="403">
        <f t="shared" si="26"/>
      </c>
      <c r="C203" s="404"/>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c r="A204" s="104">
        <f t="shared" si="25"/>
        <v>198</v>
      </c>
      <c r="B204" s="403">
        <f t="shared" si="26"/>
      </c>
      <c r="C204" s="404"/>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c r="A205" s="104">
        <f t="shared" si="25"/>
        <v>199</v>
      </c>
      <c r="B205" s="403">
        <f t="shared" si="26"/>
      </c>
      <c r="C205" s="404"/>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c r="A206" s="104">
        <f t="shared" si="25"/>
        <v>200</v>
      </c>
      <c r="B206" s="403">
        <f t="shared" si="26"/>
      </c>
      <c r="C206" s="404"/>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mergeCells count="203">
    <mergeCell ref="B175:C175"/>
    <mergeCell ref="B176:C176"/>
    <mergeCell ref="B177:C177"/>
    <mergeCell ref="B178:C178"/>
    <mergeCell ref="B179:C179"/>
    <mergeCell ref="B180:C180"/>
    <mergeCell ref="B181:C181"/>
    <mergeCell ref="B182:C182"/>
    <mergeCell ref="B167:C167"/>
    <mergeCell ref="B168:C168"/>
    <mergeCell ref="B169:C169"/>
    <mergeCell ref="B170:C170"/>
    <mergeCell ref="B171:C171"/>
    <mergeCell ref="B172:C172"/>
    <mergeCell ref="B173:C173"/>
    <mergeCell ref="B174:C174"/>
    <mergeCell ref="B206:C206"/>
    <mergeCell ref="B199:C199"/>
    <mergeCell ref="B200:C200"/>
    <mergeCell ref="B201:C201"/>
    <mergeCell ref="B202:C202"/>
    <mergeCell ref="B204:C204"/>
    <mergeCell ref="B205:C205"/>
    <mergeCell ref="B183:C183"/>
    <mergeCell ref="B184:C184"/>
    <mergeCell ref="B185:C185"/>
    <mergeCell ref="B186:C186"/>
    <mergeCell ref="B187:C187"/>
    <mergeCell ref="B188:C188"/>
    <mergeCell ref="B189:C189"/>
    <mergeCell ref="B190:C190"/>
    <mergeCell ref="B193:C193"/>
    <mergeCell ref="B194:C194"/>
    <mergeCell ref="B203:C203"/>
    <mergeCell ref="B195:C195"/>
    <mergeCell ref="B196:C196"/>
    <mergeCell ref="B197:C197"/>
    <mergeCell ref="B198:C198"/>
    <mergeCell ref="B191:C191"/>
    <mergeCell ref="B156:C156"/>
    <mergeCell ref="B192:C192"/>
    <mergeCell ref="B159:C159"/>
    <mergeCell ref="B160:C160"/>
    <mergeCell ref="B161:C161"/>
    <mergeCell ref="B162:C162"/>
    <mergeCell ref="B163:C163"/>
    <mergeCell ref="B164:C164"/>
    <mergeCell ref="B165:C165"/>
    <mergeCell ref="B166:C166"/>
    <mergeCell ref="B150:C150"/>
    <mergeCell ref="B151:C151"/>
    <mergeCell ref="B152:C152"/>
    <mergeCell ref="B153:C153"/>
    <mergeCell ref="B154:C154"/>
    <mergeCell ref="B155:C155"/>
    <mergeCell ref="B140:C140"/>
    <mergeCell ref="B157:C157"/>
    <mergeCell ref="B158:C158"/>
    <mergeCell ref="B143:C143"/>
    <mergeCell ref="B144:C144"/>
    <mergeCell ref="B145:C145"/>
    <mergeCell ref="B146:C146"/>
    <mergeCell ref="B147:C147"/>
    <mergeCell ref="B148:C148"/>
    <mergeCell ref="B149:C149"/>
    <mergeCell ref="B134:C134"/>
    <mergeCell ref="B135:C135"/>
    <mergeCell ref="B136:C136"/>
    <mergeCell ref="B137:C137"/>
    <mergeCell ref="B138:C138"/>
    <mergeCell ref="B139:C139"/>
    <mergeCell ref="B124:C124"/>
    <mergeCell ref="B141:C141"/>
    <mergeCell ref="B142:C142"/>
    <mergeCell ref="B127:C127"/>
    <mergeCell ref="B128:C128"/>
    <mergeCell ref="B129:C129"/>
    <mergeCell ref="B130:C130"/>
    <mergeCell ref="B131:C131"/>
    <mergeCell ref="B132:C132"/>
    <mergeCell ref="B133:C133"/>
    <mergeCell ref="B118:C118"/>
    <mergeCell ref="B119:C119"/>
    <mergeCell ref="B120:C120"/>
    <mergeCell ref="B121:C121"/>
    <mergeCell ref="B122:C122"/>
    <mergeCell ref="B123:C123"/>
    <mergeCell ref="B108:C108"/>
    <mergeCell ref="B125:C125"/>
    <mergeCell ref="B126:C126"/>
    <mergeCell ref="B111:C111"/>
    <mergeCell ref="B112:C112"/>
    <mergeCell ref="B113:C113"/>
    <mergeCell ref="B114:C114"/>
    <mergeCell ref="B115:C115"/>
    <mergeCell ref="B116:C116"/>
    <mergeCell ref="B117:C117"/>
    <mergeCell ref="B102:C102"/>
    <mergeCell ref="B103:C103"/>
    <mergeCell ref="B104:C104"/>
    <mergeCell ref="B105:C105"/>
    <mergeCell ref="B106:C106"/>
    <mergeCell ref="B107:C107"/>
    <mergeCell ref="B92:C92"/>
    <mergeCell ref="B109:C109"/>
    <mergeCell ref="B110:C110"/>
    <mergeCell ref="B95:C95"/>
    <mergeCell ref="B96:C96"/>
    <mergeCell ref="B97:C97"/>
    <mergeCell ref="B98:C98"/>
    <mergeCell ref="B99:C99"/>
    <mergeCell ref="B100:C100"/>
    <mergeCell ref="B101:C101"/>
    <mergeCell ref="B86:C86"/>
    <mergeCell ref="B87:C87"/>
    <mergeCell ref="B88:C88"/>
    <mergeCell ref="B89:C89"/>
    <mergeCell ref="B90:C90"/>
    <mergeCell ref="B91:C91"/>
    <mergeCell ref="B76:C76"/>
    <mergeCell ref="B93:C93"/>
    <mergeCell ref="B94:C94"/>
    <mergeCell ref="B79:C79"/>
    <mergeCell ref="B80:C80"/>
    <mergeCell ref="B81:C81"/>
    <mergeCell ref="B82:C82"/>
    <mergeCell ref="B83:C83"/>
    <mergeCell ref="B84:C84"/>
    <mergeCell ref="B85:C85"/>
    <mergeCell ref="B70:C70"/>
    <mergeCell ref="B71:C71"/>
    <mergeCell ref="B72:C72"/>
    <mergeCell ref="B73:C73"/>
    <mergeCell ref="B74:C74"/>
    <mergeCell ref="B75:C75"/>
    <mergeCell ref="B60:C60"/>
    <mergeCell ref="B77:C77"/>
    <mergeCell ref="B78:C78"/>
    <mergeCell ref="B63:C63"/>
    <mergeCell ref="B64:C64"/>
    <mergeCell ref="B65:C65"/>
    <mergeCell ref="B66:C66"/>
    <mergeCell ref="B67:C67"/>
    <mergeCell ref="B68:C68"/>
    <mergeCell ref="B69:C69"/>
    <mergeCell ref="B54:C54"/>
    <mergeCell ref="B55:C55"/>
    <mergeCell ref="B56:C56"/>
    <mergeCell ref="B57:C57"/>
    <mergeCell ref="B58:C58"/>
    <mergeCell ref="B59:C59"/>
    <mergeCell ref="B44:C44"/>
    <mergeCell ref="B61:C61"/>
    <mergeCell ref="B62:C62"/>
    <mergeCell ref="B47:C47"/>
    <mergeCell ref="B48:C48"/>
    <mergeCell ref="B49:C49"/>
    <mergeCell ref="B50:C50"/>
    <mergeCell ref="B51:C51"/>
    <mergeCell ref="B52:C52"/>
    <mergeCell ref="B53:C53"/>
    <mergeCell ref="B38:C38"/>
    <mergeCell ref="B39:C39"/>
    <mergeCell ref="B40:C40"/>
    <mergeCell ref="B41:C41"/>
    <mergeCell ref="B42:C42"/>
    <mergeCell ref="B43:C43"/>
    <mergeCell ref="B28:C28"/>
    <mergeCell ref="B45:C45"/>
    <mergeCell ref="B46:C46"/>
    <mergeCell ref="B31:C31"/>
    <mergeCell ref="B32:C32"/>
    <mergeCell ref="B33:C33"/>
    <mergeCell ref="B34:C34"/>
    <mergeCell ref="B35:C35"/>
    <mergeCell ref="B36:C36"/>
    <mergeCell ref="B37:C37"/>
    <mergeCell ref="B22:C22"/>
    <mergeCell ref="B23:C23"/>
    <mergeCell ref="B24:C24"/>
    <mergeCell ref="B25:C25"/>
    <mergeCell ref="B26:C26"/>
    <mergeCell ref="B27:C27"/>
    <mergeCell ref="B9:C9"/>
    <mergeCell ref="B10:C10"/>
    <mergeCell ref="B29:C29"/>
    <mergeCell ref="B30:C30"/>
    <mergeCell ref="B16:C16"/>
    <mergeCell ref="B17:C17"/>
    <mergeCell ref="B18:C18"/>
    <mergeCell ref="B19:C19"/>
    <mergeCell ref="B20:C20"/>
    <mergeCell ref="B21:C21"/>
    <mergeCell ref="B11:C11"/>
    <mergeCell ref="B15:C15"/>
    <mergeCell ref="B12:C12"/>
    <mergeCell ref="B13:C13"/>
    <mergeCell ref="B14:C14"/>
    <mergeCell ref="V5:W5"/>
    <mergeCell ref="A5:C5"/>
    <mergeCell ref="T5:U5"/>
    <mergeCell ref="B7:C7"/>
    <mergeCell ref="B8:C8"/>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IV114"/>
  <sheetViews>
    <sheetView zoomScalePageLayoutView="0" workbookViewId="0" topLeftCell="A46">
      <selection activeCell="B88" sqref="B88"/>
    </sheetView>
  </sheetViews>
  <sheetFormatPr defaultColWidth="0" defaultRowHeight="12.75" zeroHeight="1"/>
  <cols>
    <col min="1" max="1" width="2.7109375" style="209" customWidth="1"/>
    <col min="2" max="2" width="118.7109375" style="210" customWidth="1"/>
    <col min="3" max="3" width="2.7109375" style="209" customWidth="1"/>
    <col min="4" max="16384" width="9.140625" style="209" hidden="1" customWidth="1"/>
  </cols>
  <sheetData>
    <row r="1" s="77" customFormat="1" ht="12.75">
      <c r="B1" s="211" t="s">
        <v>684</v>
      </c>
    </row>
    <row r="2" spans="1:3" s="58" customFormat="1" ht="19.5" customHeight="1">
      <c r="A2" s="77"/>
      <c r="B2" s="81" t="s">
        <v>449</v>
      </c>
      <c r="C2" s="77"/>
    </row>
    <row r="3" spans="1:3" s="58" customFormat="1" ht="4.5" customHeight="1">
      <c r="A3" s="77"/>
      <c r="B3" s="120"/>
      <c r="C3" s="77"/>
    </row>
    <row r="4" spans="1:3" s="58" customFormat="1" ht="12.75" customHeight="1">
      <c r="A4" s="77"/>
      <c r="B4" s="121" t="s">
        <v>641</v>
      </c>
      <c r="C4" s="77"/>
    </row>
    <row r="5" spans="1:3" s="65" customFormat="1" ht="5.25">
      <c r="A5" s="78"/>
      <c r="B5" s="122"/>
      <c r="C5" s="78"/>
    </row>
    <row r="6" spans="1:3" s="58" customFormat="1" ht="25.5" customHeight="1">
      <c r="A6" s="77"/>
      <c r="B6" s="121" t="s">
        <v>659</v>
      </c>
      <c r="C6" s="77"/>
    </row>
    <row r="7" spans="1:3" s="65" customFormat="1" ht="5.25">
      <c r="A7" s="78"/>
      <c r="B7" s="122"/>
      <c r="C7" s="78"/>
    </row>
    <row r="8" spans="1:3" s="58" customFormat="1" ht="25.5" customHeight="1">
      <c r="A8" s="77"/>
      <c r="B8" s="121" t="s">
        <v>644</v>
      </c>
      <c r="C8" s="77"/>
    </row>
    <row r="9" spans="1:3" s="65" customFormat="1" ht="5.25">
      <c r="A9" s="78"/>
      <c r="B9" s="122"/>
      <c r="C9" s="78"/>
    </row>
    <row r="10" spans="1:3" s="58" customFormat="1" ht="12.75" customHeight="1">
      <c r="A10" s="77"/>
      <c r="B10" s="121" t="s">
        <v>643</v>
      </c>
      <c r="C10" s="77"/>
    </row>
    <row r="11" spans="1:3" s="65" customFormat="1" ht="5.25">
      <c r="A11" s="78"/>
      <c r="B11" s="122"/>
      <c r="C11" s="78"/>
    </row>
    <row r="12" spans="1:3" s="58" customFormat="1" ht="12.75" customHeight="1">
      <c r="A12" s="77"/>
      <c r="B12" s="123" t="s">
        <v>647</v>
      </c>
      <c r="C12" s="77"/>
    </row>
    <row r="13" spans="1:3" s="65" customFormat="1" ht="5.25">
      <c r="A13" s="78"/>
      <c r="B13" s="122"/>
      <c r="C13" s="78"/>
    </row>
    <row r="14" spans="1:3" s="58" customFormat="1" ht="25.5" customHeight="1">
      <c r="A14" s="77"/>
      <c r="B14" s="123" t="s">
        <v>649</v>
      </c>
      <c r="C14" s="77"/>
    </row>
    <row r="15" spans="1:3" s="65" customFormat="1" ht="5.25">
      <c r="A15" s="78"/>
      <c r="B15" s="122"/>
      <c r="C15" s="78"/>
    </row>
    <row r="16" spans="1:3" s="58" customFormat="1" ht="38.25">
      <c r="A16" s="77"/>
      <c r="B16" s="274" t="s">
        <v>653</v>
      </c>
      <c r="C16" s="77"/>
    </row>
    <row r="17" spans="1:3" s="65" customFormat="1" ht="5.25">
      <c r="A17" s="78"/>
      <c r="B17" s="122"/>
      <c r="C17" s="78"/>
    </row>
    <row r="18" spans="1:3" s="58" customFormat="1" ht="12.75" customHeight="1">
      <c r="A18" s="77"/>
      <c r="B18" s="123" t="s">
        <v>654</v>
      </c>
      <c r="C18" s="77"/>
    </row>
    <row r="19" spans="1:3" s="65" customFormat="1" ht="5.25">
      <c r="A19" s="78"/>
      <c r="B19" s="122"/>
      <c r="C19" s="78"/>
    </row>
    <row r="20" spans="1:3" s="58" customFormat="1" ht="39" customHeight="1">
      <c r="A20" s="77"/>
      <c r="B20" s="335" t="s">
        <v>808</v>
      </c>
      <c r="C20" s="77"/>
    </row>
    <row r="21" spans="1:3" s="65" customFormat="1" ht="5.25">
      <c r="A21" s="78"/>
      <c r="B21" s="122"/>
      <c r="C21" s="78"/>
    </row>
    <row r="22" spans="1:3" s="58" customFormat="1" ht="39" customHeight="1">
      <c r="A22" s="77"/>
      <c r="B22" s="123" t="s">
        <v>648</v>
      </c>
      <c r="C22" s="77"/>
    </row>
    <row r="23" spans="1:3" s="58" customFormat="1" ht="6.75" customHeight="1">
      <c r="A23" s="77"/>
      <c r="B23" s="123"/>
      <c r="C23" s="77"/>
    </row>
    <row r="24" spans="1:3" s="58" customFormat="1" ht="12.75" customHeight="1">
      <c r="A24" s="77"/>
      <c r="B24" s="123" t="s">
        <v>642</v>
      </c>
      <c r="C24" s="77"/>
    </row>
    <row r="25" spans="1:3" s="58" customFormat="1" ht="4.5" customHeight="1">
      <c r="A25" s="77"/>
      <c r="B25" s="123"/>
      <c r="C25" s="77"/>
    </row>
    <row r="26" spans="1:3" s="58" customFormat="1" ht="51">
      <c r="A26" s="77"/>
      <c r="B26" s="274" t="s">
        <v>655</v>
      </c>
      <c r="C26" s="77"/>
    </row>
    <row r="27" spans="1:3" s="58" customFormat="1" ht="5.25" customHeight="1">
      <c r="A27" s="77"/>
      <c r="B27" s="123"/>
      <c r="C27" s="77"/>
    </row>
    <row r="28" spans="1:3" s="58" customFormat="1" ht="25.5">
      <c r="A28" s="77"/>
      <c r="B28" s="123" t="s">
        <v>656</v>
      </c>
      <c r="C28" s="77"/>
    </row>
    <row r="29" spans="1:3" s="58" customFormat="1" ht="4.5" customHeight="1">
      <c r="A29" s="77"/>
      <c r="B29" s="123"/>
      <c r="C29" s="77"/>
    </row>
    <row r="30" spans="1:3" s="58" customFormat="1" ht="25.5" customHeight="1">
      <c r="A30" s="77"/>
      <c r="B30" s="274" t="s">
        <v>657</v>
      </c>
      <c r="C30" s="77"/>
    </row>
    <row r="31" spans="1:3" s="58" customFormat="1" ht="4.5" customHeight="1">
      <c r="A31" s="77"/>
      <c r="B31" s="123"/>
      <c r="C31" s="77"/>
    </row>
    <row r="32" spans="1:3" s="58" customFormat="1" ht="12.75" customHeight="1">
      <c r="A32" s="77"/>
      <c r="B32" s="123" t="s">
        <v>658</v>
      </c>
      <c r="C32" s="77"/>
    </row>
    <row r="33" spans="1:3" s="58" customFormat="1" ht="4.5" customHeight="1">
      <c r="A33" s="77"/>
      <c r="B33" s="123"/>
      <c r="C33" s="77"/>
    </row>
    <row r="34" spans="1:3" s="58" customFormat="1" ht="12.75" customHeight="1">
      <c r="A34" s="77"/>
      <c r="B34" s="123"/>
      <c r="C34" s="77"/>
    </row>
    <row r="35" spans="1:3" s="58" customFormat="1" ht="4.5" customHeight="1">
      <c r="A35" s="77"/>
      <c r="B35" s="123"/>
      <c r="C35" s="77"/>
    </row>
    <row r="36" spans="1:3" s="58" customFormat="1" ht="12.75" customHeight="1">
      <c r="A36" s="77"/>
      <c r="B36" s="275" t="s">
        <v>682</v>
      </c>
      <c r="C36" s="77"/>
    </row>
    <row r="37" spans="1:3" s="58" customFormat="1" ht="4.5" customHeight="1">
      <c r="A37" s="77"/>
      <c r="B37" s="123"/>
      <c r="C37" s="77"/>
    </row>
    <row r="38" spans="1:3" s="58" customFormat="1" ht="12.75" customHeight="1">
      <c r="A38" s="77"/>
      <c r="B38" s="275" t="s">
        <v>805</v>
      </c>
      <c r="C38" s="77"/>
    </row>
    <row r="39" spans="1:3" s="58" customFormat="1" ht="4.5" customHeight="1">
      <c r="A39" s="77"/>
      <c r="B39" s="123"/>
      <c r="C39" s="77"/>
    </row>
    <row r="40" spans="1:3" s="58" customFormat="1" ht="12.75" customHeight="1">
      <c r="A40" s="77"/>
      <c r="B40" s="335" t="s">
        <v>807</v>
      </c>
      <c r="C40" s="77"/>
    </row>
    <row r="41" spans="1:3" s="58" customFormat="1" ht="4.5" customHeight="1">
      <c r="A41" s="77"/>
      <c r="B41" s="123"/>
      <c r="C41" s="77"/>
    </row>
    <row r="42" spans="1:3" s="58" customFormat="1" ht="4.5" customHeight="1">
      <c r="A42" s="77"/>
      <c r="B42" s="123"/>
      <c r="C42" s="77"/>
    </row>
    <row r="43" spans="1:3" s="58" customFormat="1" ht="12.75" customHeight="1">
      <c r="A43" s="77"/>
      <c r="B43" s="275" t="s">
        <v>806</v>
      </c>
      <c r="C43" s="77"/>
    </row>
    <row r="44" spans="1:3" s="58" customFormat="1" ht="4.5" customHeight="1">
      <c r="A44" s="77"/>
      <c r="B44" s="123"/>
      <c r="C44" s="77"/>
    </row>
    <row r="45" spans="1:3" s="58" customFormat="1" ht="63.75">
      <c r="A45" s="77"/>
      <c r="B45" s="335" t="s">
        <v>877</v>
      </c>
      <c r="C45" s="77"/>
    </row>
    <row r="46" spans="1:3" s="58" customFormat="1" ht="4.5" customHeight="1">
      <c r="A46" s="77"/>
      <c r="B46" s="123"/>
      <c r="C46" s="77"/>
    </row>
    <row r="47" spans="1:3" s="58" customFormat="1" ht="4.5" customHeight="1">
      <c r="A47" s="77"/>
      <c r="B47" s="123"/>
      <c r="C47" s="77"/>
    </row>
    <row r="48" spans="1:3" s="58" customFormat="1" ht="12.75" customHeight="1">
      <c r="A48" s="77"/>
      <c r="B48" s="275" t="s">
        <v>809</v>
      </c>
      <c r="C48" s="77"/>
    </row>
    <row r="49" spans="1:3" s="58" customFormat="1" ht="4.5" customHeight="1">
      <c r="A49" s="77"/>
      <c r="B49" s="123"/>
      <c r="C49" s="77"/>
    </row>
    <row r="50" spans="1:3" s="58" customFormat="1" ht="12.75">
      <c r="A50" s="77"/>
      <c r="B50" s="335" t="s">
        <v>810</v>
      </c>
      <c r="C50" s="77"/>
    </row>
    <row r="51" spans="1:3" s="58" customFormat="1" ht="12.75">
      <c r="A51" s="77"/>
      <c r="B51" s="335" t="s">
        <v>811</v>
      </c>
      <c r="C51" s="77"/>
    </row>
    <row r="52" spans="1:3" s="58" customFormat="1" ht="4.5" customHeight="1">
      <c r="A52" s="77"/>
      <c r="B52" s="123"/>
      <c r="C52" s="77"/>
    </row>
    <row r="53" spans="1:3" s="58" customFormat="1" ht="4.5" customHeight="1">
      <c r="A53" s="77"/>
      <c r="B53" s="123"/>
      <c r="C53" s="77"/>
    </row>
    <row r="54" spans="1:3" s="58" customFormat="1" ht="12.75" customHeight="1">
      <c r="A54" s="77"/>
      <c r="B54" s="275" t="s">
        <v>812</v>
      </c>
      <c r="C54" s="77"/>
    </row>
    <row r="55" spans="1:3" s="58" customFormat="1" ht="4.5" customHeight="1">
      <c r="A55" s="77"/>
      <c r="B55" s="123"/>
      <c r="C55" s="77"/>
    </row>
    <row r="56" spans="1:3" s="58" customFormat="1" ht="12.75">
      <c r="A56" s="77"/>
      <c r="B56" s="335" t="s">
        <v>813</v>
      </c>
      <c r="C56" s="77"/>
    </row>
    <row r="57" spans="1:3" s="58" customFormat="1" ht="4.5" customHeight="1">
      <c r="A57" s="77"/>
      <c r="B57" s="123"/>
      <c r="C57" s="77"/>
    </row>
    <row r="58" spans="1:3" s="58" customFormat="1" ht="4.5" customHeight="1">
      <c r="A58" s="77"/>
      <c r="B58" s="123"/>
      <c r="C58" s="77"/>
    </row>
    <row r="59" spans="1:3" s="58" customFormat="1" ht="12.75" customHeight="1">
      <c r="A59" s="77"/>
      <c r="B59" s="275" t="s">
        <v>826</v>
      </c>
      <c r="C59" s="77"/>
    </row>
    <row r="60" spans="1:3" s="58" customFormat="1" ht="4.5" customHeight="1">
      <c r="A60" s="77"/>
      <c r="B60" s="123"/>
      <c r="C60" s="77"/>
    </row>
    <row r="61" spans="1:3" s="58" customFormat="1" ht="12.75">
      <c r="A61" s="77"/>
      <c r="B61" s="335" t="s">
        <v>821</v>
      </c>
      <c r="C61" s="77"/>
    </row>
    <row r="62" spans="1:3" s="58" customFormat="1" ht="12.75" customHeight="1">
      <c r="A62" s="77"/>
      <c r="B62" s="335" t="s">
        <v>822</v>
      </c>
      <c r="C62" s="77"/>
    </row>
    <row r="63" spans="1:3" s="58" customFormat="1" ht="12.75" customHeight="1">
      <c r="A63" s="77"/>
      <c r="B63" s="335" t="s">
        <v>823</v>
      </c>
      <c r="C63" s="77"/>
    </row>
    <row r="64" spans="1:3" s="58" customFormat="1" ht="12.75" customHeight="1">
      <c r="A64" s="77"/>
      <c r="B64" s="335" t="s">
        <v>824</v>
      </c>
      <c r="C64" s="77"/>
    </row>
    <row r="65" spans="1:3" s="58" customFormat="1" ht="4.5" customHeight="1">
      <c r="A65" s="77"/>
      <c r="B65" s="123"/>
      <c r="C65" s="77"/>
    </row>
    <row r="66" spans="1:256" s="58" customFormat="1" ht="12.75" customHeight="1">
      <c r="A66" s="77"/>
      <c r="B66" s="335" t="s">
        <v>825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3" s="58" customFormat="1" ht="4.5" customHeight="1">
      <c r="A67" s="77"/>
      <c r="B67" s="123"/>
      <c r="C67" s="77"/>
    </row>
    <row r="68" spans="1:3" s="58" customFormat="1" ht="4.5" customHeight="1">
      <c r="A68" s="77"/>
      <c r="B68" s="123"/>
      <c r="C68" s="77"/>
    </row>
    <row r="69" spans="1:3" s="58" customFormat="1" ht="12.75" customHeight="1">
      <c r="A69" s="77"/>
      <c r="B69" s="275" t="s">
        <v>865</v>
      </c>
      <c r="C69" s="77"/>
    </row>
    <row r="70" spans="1:3" s="58" customFormat="1" ht="4.5" customHeight="1">
      <c r="A70" s="77"/>
      <c r="B70" s="123"/>
      <c r="C70" s="77"/>
    </row>
    <row r="71" spans="1:3" s="58" customFormat="1" ht="25.5">
      <c r="A71" s="77"/>
      <c r="B71" s="335" t="s">
        <v>866</v>
      </c>
      <c r="C71" s="77"/>
    </row>
    <row r="72" spans="1:3" s="58" customFormat="1" ht="4.5" customHeight="1">
      <c r="A72" s="77"/>
      <c r="B72" s="123"/>
      <c r="C72" s="77"/>
    </row>
    <row r="73" spans="1:3" s="58" customFormat="1" ht="12.75" customHeight="1">
      <c r="A73" s="77"/>
      <c r="B73" s="335" t="s">
        <v>867</v>
      </c>
      <c r="C73" s="77"/>
    </row>
    <row r="74" spans="1:3" s="58" customFormat="1" ht="12.75" customHeight="1">
      <c r="A74" s="77"/>
      <c r="B74" s="335" t="s">
        <v>868</v>
      </c>
      <c r="C74" s="77"/>
    </row>
    <row r="75" spans="1:256" s="58" customFormat="1" ht="12.75" customHeight="1">
      <c r="A75" s="77"/>
      <c r="B75" s="335" t="s">
        <v>869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3" s="58" customFormat="1" ht="4.5" customHeight="1">
      <c r="A76" s="77"/>
      <c r="B76" s="123"/>
      <c r="C76" s="77"/>
    </row>
    <row r="77" spans="1:3" s="58" customFormat="1" ht="4.5" customHeight="1">
      <c r="A77" s="77"/>
      <c r="B77" s="123"/>
      <c r="C77" s="77"/>
    </row>
    <row r="78" spans="1:3" s="58" customFormat="1" ht="12.75" customHeight="1">
      <c r="A78" s="77"/>
      <c r="B78" s="275" t="s">
        <v>872</v>
      </c>
      <c r="C78" s="77"/>
    </row>
    <row r="79" spans="1:3" s="58" customFormat="1" ht="4.5" customHeight="1">
      <c r="A79" s="77"/>
      <c r="B79" s="123"/>
      <c r="C79" s="77"/>
    </row>
    <row r="80" spans="1:3" s="58" customFormat="1" ht="12.75">
      <c r="A80" s="77"/>
      <c r="B80" s="335" t="s">
        <v>873</v>
      </c>
      <c r="C80" s="77"/>
    </row>
    <row r="81" spans="1:3" s="58" customFormat="1" ht="4.5" customHeight="1">
      <c r="A81" s="77"/>
      <c r="B81" s="123"/>
      <c r="C81" s="77"/>
    </row>
    <row r="82" spans="1:3" s="58" customFormat="1" ht="4.5" customHeight="1">
      <c r="A82" s="77"/>
      <c r="B82" s="123"/>
      <c r="C82" s="77"/>
    </row>
    <row r="83" spans="1:3" s="58" customFormat="1" ht="12.75" customHeight="1">
      <c r="A83" s="77"/>
      <c r="B83" s="275" t="s">
        <v>874</v>
      </c>
      <c r="C83" s="77"/>
    </row>
    <row r="84" spans="1:3" s="58" customFormat="1" ht="4.5" customHeight="1">
      <c r="A84" s="77"/>
      <c r="B84" s="123"/>
      <c r="C84" s="77"/>
    </row>
    <row r="85" spans="1:3" s="58" customFormat="1" ht="12.75">
      <c r="A85" s="77"/>
      <c r="B85" s="335" t="s">
        <v>875</v>
      </c>
      <c r="C85" s="77"/>
    </row>
    <row r="86" spans="1:3" s="58" customFormat="1" ht="4.5" customHeight="1">
      <c r="A86" s="77"/>
      <c r="B86" s="123"/>
      <c r="C86" s="77"/>
    </row>
    <row r="87" spans="1:3" s="58" customFormat="1" ht="4.5" customHeight="1">
      <c r="A87" s="77"/>
      <c r="B87" s="123"/>
      <c r="C87" s="77"/>
    </row>
    <row r="88" spans="1:3" s="58" customFormat="1" ht="12.75" customHeight="1">
      <c r="A88" s="77"/>
      <c r="B88" s="275" t="s">
        <v>909</v>
      </c>
      <c r="C88" s="77"/>
    </row>
    <row r="89" spans="1:3" s="58" customFormat="1" ht="4.5" customHeight="1">
      <c r="A89" s="77"/>
      <c r="B89" s="123"/>
      <c r="C89" s="77"/>
    </row>
    <row r="90" spans="1:3" s="58" customFormat="1" ht="12.75">
      <c r="A90" s="77"/>
      <c r="B90" s="335" t="s">
        <v>950</v>
      </c>
      <c r="C90" s="77"/>
    </row>
    <row r="91" spans="1:3" s="58" customFormat="1" ht="12.75" customHeight="1">
      <c r="A91" s="77"/>
      <c r="B91" s="335" t="s">
        <v>954</v>
      </c>
      <c r="C91" s="77"/>
    </row>
    <row r="92" spans="1:3" s="58" customFormat="1" ht="12.75" customHeight="1">
      <c r="A92" s="77"/>
      <c r="B92" s="335" t="s">
        <v>953</v>
      </c>
      <c r="C92" s="77"/>
    </row>
    <row r="93" spans="1:256" s="58" customFormat="1" ht="12.75" customHeight="1">
      <c r="A93" s="77"/>
      <c r="B93" s="335" t="s">
        <v>951</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75" customHeight="1">
      <c r="A94" s="77"/>
      <c r="B94" s="335" t="s">
        <v>952</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3" s="58" customFormat="1" ht="4.5" customHeight="1">
      <c r="A95" s="77"/>
      <c r="B95" s="123"/>
      <c r="C95" s="77"/>
    </row>
    <row r="96" spans="1:3" s="58" customFormat="1" ht="25.5">
      <c r="A96" s="77"/>
      <c r="B96" s="335" t="s">
        <v>910</v>
      </c>
      <c r="C96" s="77"/>
    </row>
    <row r="97" spans="1:3" s="58" customFormat="1" ht="4.5" customHeight="1">
      <c r="A97" s="77"/>
      <c r="B97" s="123"/>
      <c r="C97" s="77"/>
    </row>
    <row r="98" spans="1:3" s="58" customFormat="1" ht="12.75" customHeight="1">
      <c r="A98" s="77"/>
      <c r="B98" s="335" t="s">
        <v>867</v>
      </c>
      <c r="C98" s="77"/>
    </row>
    <row r="99" spans="1:3" s="58" customFormat="1" ht="12.75" customHeight="1">
      <c r="A99" s="77"/>
      <c r="B99" s="335" t="s">
        <v>911</v>
      </c>
      <c r="C99" s="77"/>
    </row>
    <row r="100" spans="1:256" s="58" customFormat="1" ht="12.75" customHeight="1">
      <c r="A100" s="77"/>
      <c r="B100" s="335" t="s">
        <v>912</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3" s="58" customFormat="1" ht="4.5" customHeight="1">
      <c r="A101" s="77"/>
      <c r="B101" s="123"/>
      <c r="C101" s="77"/>
    </row>
    <row r="102" spans="1:3" s="58" customFormat="1" ht="4.5" customHeight="1">
      <c r="A102" s="77"/>
      <c r="B102" s="123"/>
      <c r="C102" s="77"/>
    </row>
    <row r="103" spans="1:256" s="58" customFormat="1" ht="12.75" customHeight="1">
      <c r="A103" s="77"/>
      <c r="B103" s="276"/>
      <c r="C103" s="77"/>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6"/>
      <c r="AY103" s="276"/>
      <c r="AZ103" s="276"/>
      <c r="BA103" s="276"/>
      <c r="BB103" s="276"/>
      <c r="BC103" s="276"/>
      <c r="BD103" s="276"/>
      <c r="BE103" s="276"/>
      <c r="BF103" s="276"/>
      <c r="BG103" s="276"/>
      <c r="BH103" s="276"/>
      <c r="BI103" s="276"/>
      <c r="BJ103" s="276"/>
      <c r="BK103" s="276"/>
      <c r="BL103" s="276"/>
      <c r="BM103" s="276"/>
      <c r="BN103" s="276"/>
      <c r="BO103" s="276"/>
      <c r="BP103" s="276"/>
      <c r="BQ103" s="276"/>
      <c r="BR103" s="276"/>
      <c r="BS103" s="276"/>
      <c r="BT103" s="276"/>
      <c r="BU103" s="276"/>
      <c r="BV103" s="276"/>
      <c r="BW103" s="276"/>
      <c r="BX103" s="276"/>
      <c r="BY103" s="276"/>
      <c r="BZ103" s="276"/>
      <c r="CA103" s="276"/>
      <c r="CB103" s="276"/>
      <c r="CC103" s="276"/>
      <c r="CD103" s="276"/>
      <c r="CE103" s="276"/>
      <c r="CF103" s="276"/>
      <c r="CG103" s="276"/>
      <c r="CH103" s="276"/>
      <c r="CI103" s="276"/>
      <c r="CJ103" s="276"/>
      <c r="CK103" s="276"/>
      <c r="CL103" s="276"/>
      <c r="CM103" s="276"/>
      <c r="CN103" s="276"/>
      <c r="CO103" s="276"/>
      <c r="CP103" s="276"/>
      <c r="CQ103" s="276"/>
      <c r="CR103" s="276"/>
      <c r="CS103" s="276"/>
      <c r="CT103" s="276"/>
      <c r="CU103" s="276"/>
      <c r="CV103" s="276"/>
      <c r="CW103" s="276"/>
      <c r="CX103" s="276"/>
      <c r="CY103" s="276"/>
      <c r="CZ103" s="276"/>
      <c r="DA103" s="276"/>
      <c r="DB103" s="276"/>
      <c r="DC103" s="276"/>
      <c r="DD103" s="276"/>
      <c r="DE103" s="276"/>
      <c r="DF103" s="276"/>
      <c r="DG103" s="276"/>
      <c r="DH103" s="276"/>
      <c r="DI103" s="276"/>
      <c r="DJ103" s="276"/>
      <c r="DK103" s="276"/>
      <c r="DL103" s="276"/>
      <c r="DM103" s="276"/>
      <c r="DN103" s="276"/>
      <c r="DO103" s="276"/>
      <c r="DP103" s="276"/>
      <c r="DQ103" s="276"/>
      <c r="DR103" s="276"/>
      <c r="DS103" s="276"/>
      <c r="DT103" s="276"/>
      <c r="DU103" s="276"/>
      <c r="DV103" s="276"/>
      <c r="DW103" s="276"/>
      <c r="DX103" s="276"/>
      <c r="DY103" s="276"/>
      <c r="DZ103" s="276"/>
      <c r="EA103" s="276"/>
      <c r="EB103" s="276"/>
      <c r="EC103" s="276"/>
      <c r="ED103" s="276"/>
      <c r="EE103" s="276"/>
      <c r="EF103" s="276"/>
      <c r="EG103" s="276"/>
      <c r="EH103" s="276"/>
      <c r="EI103" s="276"/>
      <c r="EJ103" s="276"/>
      <c r="EK103" s="276"/>
      <c r="EL103" s="276"/>
      <c r="EM103" s="276"/>
      <c r="EN103" s="276"/>
      <c r="EO103" s="276"/>
      <c r="EP103" s="276"/>
      <c r="EQ103" s="276"/>
      <c r="ER103" s="276"/>
      <c r="ES103" s="276"/>
      <c r="ET103" s="276"/>
      <c r="EU103" s="276"/>
      <c r="EV103" s="276"/>
      <c r="EW103" s="276"/>
      <c r="EX103" s="276"/>
      <c r="EY103" s="276"/>
      <c r="EZ103" s="276"/>
      <c r="FA103" s="276"/>
      <c r="FB103" s="276"/>
      <c r="FC103" s="276"/>
      <c r="FD103" s="276"/>
      <c r="FE103" s="276"/>
      <c r="FF103" s="276"/>
      <c r="FG103" s="276"/>
      <c r="FH103" s="276"/>
      <c r="FI103" s="276"/>
      <c r="FJ103" s="276"/>
      <c r="FK103" s="276"/>
      <c r="FL103" s="276"/>
      <c r="FM103" s="276"/>
      <c r="FN103" s="276"/>
      <c r="FO103" s="276"/>
      <c r="FP103" s="276"/>
      <c r="FQ103" s="276"/>
      <c r="FR103" s="276"/>
      <c r="FS103" s="276"/>
      <c r="FT103" s="276"/>
      <c r="FU103" s="276"/>
      <c r="FV103" s="276"/>
      <c r="FW103" s="276"/>
      <c r="FX103" s="276"/>
      <c r="FY103" s="276"/>
      <c r="FZ103" s="276"/>
      <c r="GA103" s="276"/>
      <c r="GB103" s="276"/>
      <c r="GC103" s="276"/>
      <c r="GD103" s="276"/>
      <c r="GE103" s="276"/>
      <c r="GF103" s="276"/>
      <c r="GG103" s="276"/>
      <c r="GH103" s="276"/>
      <c r="GI103" s="276"/>
      <c r="GJ103" s="276"/>
      <c r="GK103" s="276"/>
      <c r="GL103" s="276"/>
      <c r="GM103" s="276"/>
      <c r="GN103" s="276"/>
      <c r="GO103" s="276"/>
      <c r="GP103" s="276"/>
      <c r="GQ103" s="276"/>
      <c r="GR103" s="276"/>
      <c r="GS103" s="276"/>
      <c r="GT103" s="276"/>
      <c r="GU103" s="276"/>
      <c r="GV103" s="276"/>
      <c r="GW103" s="276"/>
      <c r="GX103" s="276"/>
      <c r="GY103" s="276"/>
      <c r="GZ103" s="276"/>
      <c r="HA103" s="276"/>
      <c r="HB103" s="276"/>
      <c r="HC103" s="276"/>
      <c r="HD103" s="276"/>
      <c r="HE103" s="276"/>
      <c r="HF103" s="276"/>
      <c r="HG103" s="276"/>
      <c r="HH103" s="276"/>
      <c r="HI103" s="276"/>
      <c r="HJ103" s="276"/>
      <c r="HK103" s="276"/>
      <c r="HL103" s="276"/>
      <c r="HM103" s="276"/>
      <c r="HN103" s="276"/>
      <c r="HO103" s="276"/>
      <c r="HP103" s="276"/>
      <c r="HQ103" s="276"/>
      <c r="HR103" s="276"/>
      <c r="HS103" s="276"/>
      <c r="HT103" s="276"/>
      <c r="HU103" s="276"/>
      <c r="HV103" s="276"/>
      <c r="HW103" s="276"/>
      <c r="HX103" s="276"/>
      <c r="HY103" s="276"/>
      <c r="HZ103" s="276"/>
      <c r="IA103" s="276"/>
      <c r="IB103" s="276"/>
      <c r="IC103" s="276"/>
      <c r="ID103" s="276"/>
      <c r="IE103" s="276"/>
      <c r="IF103" s="276"/>
      <c r="IG103" s="276"/>
      <c r="IH103" s="276"/>
      <c r="II103" s="276"/>
      <c r="IJ103" s="276"/>
      <c r="IK103" s="276"/>
      <c r="IL103" s="276"/>
      <c r="IM103" s="276"/>
      <c r="IN103" s="276"/>
      <c r="IO103" s="276"/>
      <c r="IP103" s="276"/>
      <c r="IQ103" s="276"/>
      <c r="IR103" s="276"/>
      <c r="IS103" s="276"/>
      <c r="IT103" s="276"/>
      <c r="IU103" s="276"/>
      <c r="IV103" s="276"/>
    </row>
    <row r="104" spans="1:3" s="58" customFormat="1" ht="4.5" customHeight="1">
      <c r="A104" s="77"/>
      <c r="B104" s="124"/>
      <c r="C104" s="77"/>
    </row>
    <row r="105" spans="1:3" s="58" customFormat="1" ht="12.75" customHeight="1">
      <c r="A105" s="77"/>
      <c r="B105" s="80"/>
      <c r="C105" s="77"/>
    </row>
    <row r="106" spans="1:3" s="58" customFormat="1" ht="19.5" customHeight="1">
      <c r="A106" s="77"/>
      <c r="B106" s="84" t="s">
        <v>448</v>
      </c>
      <c r="C106" s="77"/>
    </row>
    <row r="107" spans="1:3" s="58" customFormat="1" ht="4.5" customHeight="1">
      <c r="A107" s="77"/>
      <c r="B107" s="82"/>
      <c r="C107" s="77"/>
    </row>
    <row r="108" spans="1:3" s="58" customFormat="1" ht="12.75" customHeight="1">
      <c r="A108" s="77"/>
      <c r="B108" s="82" t="s">
        <v>660</v>
      </c>
      <c r="C108" s="77"/>
    </row>
    <row r="109" spans="1:3" s="58" customFormat="1" ht="4.5" customHeight="1">
      <c r="A109" s="77"/>
      <c r="B109" s="82"/>
      <c r="C109" s="77"/>
    </row>
    <row r="110" spans="1:3" s="58" customFormat="1" ht="25.5" customHeight="1">
      <c r="A110" s="77"/>
      <c r="B110" s="82" t="s">
        <v>661</v>
      </c>
      <c r="C110" s="77"/>
    </row>
    <row r="111" spans="1:3" s="58" customFormat="1" ht="4.5" customHeight="1">
      <c r="A111" s="77"/>
      <c r="B111" s="82"/>
      <c r="C111" s="77"/>
    </row>
    <row r="112" spans="1:3" s="58" customFormat="1" ht="12.75" customHeight="1">
      <c r="A112" s="77"/>
      <c r="B112" s="82" t="s">
        <v>662</v>
      </c>
      <c r="C112" s="77"/>
    </row>
    <row r="113" spans="1:3" s="58" customFormat="1" ht="4.5" customHeight="1">
      <c r="A113" s="77"/>
      <c r="B113" s="83"/>
      <c r="C113" s="77"/>
    </row>
    <row r="114" spans="1:3" s="58" customFormat="1" ht="12.75" customHeight="1">
      <c r="A114" s="77"/>
      <c r="B114" s="80"/>
      <c r="C114" s="77"/>
    </row>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sheetData>
  <sheetProtection password="9FA7" sheet="1"/>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giorgio galli</cp:lastModifiedBy>
  <cp:lastPrinted>2019-03-29T20:03:40Z</cp:lastPrinted>
  <dcterms:created xsi:type="dcterms:W3CDTF">2001-02-12T07:17:33Z</dcterms:created>
  <dcterms:modified xsi:type="dcterms:W3CDTF">2019-07-21T16:37:44Z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